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5" yWindow="45" windowWidth="20730" windowHeight="11700" tabRatio="500"/>
  </bookViews>
  <sheets>
    <sheet name="MASTER FINANCIALS WORKSHEET" sheetId="14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7" i="14" l="1"/>
  <c r="C49" i="14" s="1"/>
  <c r="F49" i="14" s="1"/>
  <c r="I11" i="14"/>
  <c r="I44" i="14"/>
  <c r="J37" i="14"/>
  <c r="J38" i="14" s="1"/>
  <c r="J39" i="14" s="1"/>
  <c r="J40" i="14" s="1"/>
  <c r="J41" i="14" s="1"/>
  <c r="J42" i="14" s="1"/>
  <c r="J43" i="14" s="1"/>
  <c r="J44" i="14" s="1"/>
  <c r="J45" i="14" s="1"/>
  <c r="J46" i="14" s="1"/>
  <c r="J47" i="14" s="1"/>
  <c r="J48" i="14" s="1"/>
  <c r="J49" i="14" s="1"/>
  <c r="K37" i="14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I27" i="14"/>
  <c r="N37" i="14" s="1"/>
  <c r="N38" i="14" s="1"/>
  <c r="N39" i="14" s="1"/>
  <c r="N40" i="14" s="1"/>
  <c r="N41" i="14" s="1"/>
  <c r="N42" i="14" s="1"/>
  <c r="N43" i="14" s="1"/>
  <c r="N44" i="14" s="1"/>
  <c r="N45" i="14" s="1"/>
  <c r="N46" i="14" s="1"/>
  <c r="N47" i="14" s="1"/>
  <c r="N48" i="14" s="1"/>
  <c r="N49" i="14" s="1"/>
  <c r="I49" i="14"/>
  <c r="I48" i="14"/>
  <c r="I47" i="14"/>
  <c r="I46" i="14"/>
  <c r="I45" i="14"/>
  <c r="I43" i="14"/>
  <c r="I42" i="14"/>
  <c r="I41" i="14"/>
  <c r="I40" i="14"/>
  <c r="I39" i="14"/>
  <c r="I38" i="14"/>
  <c r="I37" i="14"/>
  <c r="B27" i="14"/>
  <c r="B17" i="14"/>
  <c r="B12" i="14"/>
  <c r="P1048537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C38" i="14" l="1"/>
  <c r="G38" i="14" s="1"/>
  <c r="C41" i="14"/>
  <c r="G41" i="14" s="1"/>
  <c r="C47" i="14"/>
  <c r="H47" i="14" s="1"/>
  <c r="B18" i="14"/>
  <c r="G31" i="14"/>
  <c r="C46" i="14"/>
  <c r="C37" i="14"/>
  <c r="C45" i="14"/>
  <c r="G45" i="14" s="1"/>
  <c r="C42" i="14"/>
  <c r="F42" i="14" s="1"/>
  <c r="C40" i="14"/>
  <c r="D40" i="14" s="1"/>
  <c r="C39" i="14"/>
  <c r="C43" i="14"/>
  <c r="C44" i="14"/>
  <c r="H44" i="14" s="1"/>
  <c r="B29" i="14"/>
  <c r="G32" i="14"/>
  <c r="D47" i="14"/>
  <c r="G47" i="14"/>
  <c r="D49" i="14"/>
  <c r="G49" i="14"/>
  <c r="H49" i="14"/>
  <c r="C48" i="14"/>
  <c r="F45" i="14" l="1"/>
  <c r="F46" i="14"/>
  <c r="H46" i="14"/>
  <c r="G46" i="14"/>
  <c r="D45" i="14"/>
  <c r="F47" i="14"/>
  <c r="H38" i="14"/>
  <c r="D41" i="14"/>
  <c r="F38" i="14"/>
  <c r="H45" i="14"/>
  <c r="H41" i="14"/>
  <c r="D38" i="14"/>
  <c r="M38" i="14" s="1"/>
  <c r="O38" i="14" s="1"/>
  <c r="F41" i="14"/>
  <c r="D44" i="14"/>
  <c r="F40" i="14"/>
  <c r="D46" i="14"/>
  <c r="G37" i="14"/>
  <c r="F37" i="14"/>
  <c r="H40" i="14"/>
  <c r="G40" i="14"/>
  <c r="H37" i="14"/>
  <c r="G42" i="14"/>
  <c r="D42" i="14"/>
  <c r="D37" i="14"/>
  <c r="H42" i="14"/>
  <c r="D39" i="14"/>
  <c r="H39" i="14"/>
  <c r="F39" i="14"/>
  <c r="G39" i="14"/>
  <c r="D43" i="14"/>
  <c r="H43" i="14"/>
  <c r="F43" i="14"/>
  <c r="G43" i="14"/>
  <c r="F44" i="14"/>
  <c r="G44" i="14"/>
  <c r="D48" i="14"/>
  <c r="G48" i="14"/>
  <c r="H48" i="14"/>
  <c r="F48" i="14"/>
  <c r="Q1048537" i="14"/>
  <c r="M49" i="14"/>
  <c r="Q49" i="14" s="1"/>
  <c r="M47" i="14"/>
  <c r="M46" i="14" l="1"/>
  <c r="R46" i="14" s="1"/>
  <c r="M45" i="14"/>
  <c r="R45" i="14" s="1"/>
  <c r="M41" i="14"/>
  <c r="P41" i="14" s="1"/>
  <c r="M42" i="14"/>
  <c r="P42" i="14" s="1"/>
  <c r="M40" i="14"/>
  <c r="O40" i="14" s="1"/>
  <c r="M44" i="14"/>
  <c r="R44" i="14" s="1"/>
  <c r="M37" i="14"/>
  <c r="R38" i="14"/>
  <c r="P38" i="14"/>
  <c r="M43" i="14"/>
  <c r="R43" i="14" s="1"/>
  <c r="M39" i="14"/>
  <c r="R39" i="14" s="1"/>
  <c r="Q38" i="14"/>
  <c r="M48" i="14"/>
  <c r="R48" i="14" s="1"/>
  <c r="P47" i="14"/>
  <c r="O47" i="14"/>
  <c r="R47" i="14"/>
  <c r="Q47" i="14"/>
  <c r="O49" i="14"/>
  <c r="R49" i="14"/>
  <c r="P49" i="14"/>
  <c r="O16" i="14"/>
  <c r="S38" i="14"/>
  <c r="Q46" i="14" l="1"/>
  <c r="Q45" i="14"/>
  <c r="P45" i="14"/>
  <c r="O46" i="14"/>
  <c r="O24" i="14" s="1"/>
  <c r="S24" i="14" s="1"/>
  <c r="O45" i="14"/>
  <c r="S45" i="14" s="1"/>
  <c r="P46" i="14"/>
  <c r="R41" i="14"/>
  <c r="R42" i="14"/>
  <c r="O41" i="14"/>
  <c r="O19" i="14" s="1"/>
  <c r="R19" i="14" s="1"/>
  <c r="Q41" i="14"/>
  <c r="O43" i="14"/>
  <c r="S43" i="14" s="1"/>
  <c r="R40" i="14"/>
  <c r="Q44" i="14"/>
  <c r="Q40" i="14"/>
  <c r="Q48" i="14"/>
  <c r="P40" i="14"/>
  <c r="O42" i="14"/>
  <c r="P44" i="14"/>
  <c r="Q42" i="14"/>
  <c r="P39" i="14"/>
  <c r="O37" i="14"/>
  <c r="R37" i="14"/>
  <c r="P37" i="14"/>
  <c r="Q37" i="14"/>
  <c r="P43" i="14"/>
  <c r="O44" i="14"/>
  <c r="Q39" i="14"/>
  <c r="O39" i="14"/>
  <c r="S39" i="14" s="1"/>
  <c r="O48" i="14"/>
  <c r="S48" i="14" s="1"/>
  <c r="Q43" i="14"/>
  <c r="P48" i="14"/>
  <c r="R16" i="14"/>
  <c r="P16" i="14"/>
  <c r="Q16" i="14"/>
  <c r="S16" i="14"/>
  <c r="O27" i="14"/>
  <c r="S49" i="14"/>
  <c r="O25" i="14"/>
  <c r="S47" i="14"/>
  <c r="S40" i="14"/>
  <c r="O18" i="14"/>
  <c r="S46" i="14" l="1"/>
  <c r="P24" i="14"/>
  <c r="O17" i="14"/>
  <c r="S17" i="14" s="1"/>
  <c r="Q24" i="14"/>
  <c r="O23" i="14"/>
  <c r="S23" i="14" s="1"/>
  <c r="R24" i="14"/>
  <c r="Q19" i="14"/>
  <c r="P19" i="14"/>
  <c r="S19" i="14"/>
  <c r="O21" i="14"/>
  <c r="R21" i="14" s="1"/>
  <c r="S41" i="14"/>
  <c r="O20" i="14"/>
  <c r="S42" i="14"/>
  <c r="O26" i="14"/>
  <c r="P26" i="14" s="1"/>
  <c r="O22" i="14"/>
  <c r="S44" i="14"/>
  <c r="S37" i="14"/>
  <c r="O15" i="14"/>
  <c r="P17" i="14"/>
  <c r="R18" i="14"/>
  <c r="P18" i="14"/>
  <c r="S18" i="14"/>
  <c r="Q18" i="14"/>
  <c r="P23" i="14"/>
  <c r="Q23" i="14"/>
  <c r="R25" i="14"/>
  <c r="P25" i="14"/>
  <c r="Q25" i="14"/>
  <c r="S25" i="14"/>
  <c r="R27" i="14"/>
  <c r="P27" i="14"/>
  <c r="Q27" i="14"/>
  <c r="S27" i="14"/>
  <c r="Q17" i="14" l="1"/>
  <c r="R17" i="14"/>
  <c r="R23" i="14"/>
  <c r="S21" i="14"/>
  <c r="Q21" i="14"/>
  <c r="P21" i="14"/>
  <c r="R26" i="14"/>
  <c r="Q20" i="14"/>
  <c r="S20" i="14"/>
  <c r="R20" i="14"/>
  <c r="P20" i="14"/>
  <c r="Q26" i="14"/>
  <c r="S22" i="14"/>
  <c r="R22" i="14"/>
  <c r="P22" i="14"/>
  <c r="Q22" i="14"/>
  <c r="Q15" i="14"/>
  <c r="S15" i="14"/>
  <c r="R15" i="14"/>
  <c r="P15" i="14"/>
  <c r="S26" i="14"/>
</calcChain>
</file>

<file path=xl/sharedStrings.xml><?xml version="1.0" encoding="utf-8"?>
<sst xmlns="http://schemas.openxmlformats.org/spreadsheetml/2006/main" count="74" uniqueCount="73">
  <si>
    <t>Total Machine costs at project size</t>
    <phoneticPr fontId="5" type="noConversion"/>
  </si>
  <si>
    <t>Yearly Profit &amp; Financial Metrics</t>
    <phoneticPr fontId="5" type="noConversion"/>
  </si>
  <si>
    <t>MODIFICARE SOLO VALORI IN VERDE</t>
  </si>
  <si>
    <t>Numero di 25kW Power Cubes</t>
  </si>
  <si>
    <t>kW generati a macchina</t>
  </si>
  <si>
    <t>Dimensione Progetto</t>
  </si>
  <si>
    <t>Costo macchine</t>
  </si>
  <si>
    <t>Trasporto + Dogana</t>
  </si>
  <si>
    <t>Preparazione sito + Installazione</t>
  </si>
  <si>
    <t>Costo trasporto ogni macchina 25kW Power Cube</t>
  </si>
  <si>
    <t>Dazio Doganale per ogni 25kW Power Cube</t>
  </si>
  <si>
    <t>Subtotale trasporto e dogana a macchina</t>
  </si>
  <si>
    <t>Totale trasporto e dogana</t>
  </si>
  <si>
    <t>Per ogni 25kW Power Cube</t>
  </si>
  <si>
    <t>Impianto eletrico e dispositivo di interfaccia</t>
  </si>
  <si>
    <t>Autorizzazioni Sito + ENEL</t>
  </si>
  <si>
    <t>Lavoro edile sul site</t>
  </si>
  <si>
    <t>Sistema di sotccaggio del legno</t>
  </si>
  <si>
    <t>Varie ed Eventuali</t>
  </si>
  <si>
    <t>Subtotale per ogni 25kW Power Cube</t>
  </si>
  <si>
    <t>Sconto per progetti grandi</t>
  </si>
  <si>
    <t xml:space="preserve">Total costi </t>
  </si>
  <si>
    <t>Totale Costo Progetto Installato</t>
  </si>
  <si>
    <t xml:space="preserve">Subtotale Costo chiavi in mano per 50kw </t>
  </si>
  <si>
    <t>kW totali del progetto</t>
  </si>
  <si>
    <t>GSE FIT: Euro/MWh</t>
  </si>
  <si>
    <t>CHP Calore / MWh elettrico (1MWe=2MWth)</t>
  </si>
  <si>
    <t>Altro/MWh</t>
  </si>
  <si>
    <t>Subtotale Entrate</t>
  </si>
  <si>
    <t>Efficienza: Kg/Kwh</t>
  </si>
  <si>
    <t>Costo Gestione: Euro/MWh</t>
  </si>
  <si>
    <t>Costo Manutenzione: Euro/MWh</t>
  </si>
  <si>
    <t>Costi Amministrativi/Anno</t>
  </si>
  <si>
    <t>Assicurazione: per ogni 25kW</t>
  </si>
  <si>
    <t xml:space="preserve">Costo Macchine PP25 EU - 25kW </t>
  </si>
  <si>
    <t>(comprende: sistema di caricamento e installazione)</t>
  </si>
  <si>
    <t>Costo Biomassa: Euro/Tonnellata</t>
  </si>
  <si>
    <t>Altro: per 25kW machine</t>
  </si>
  <si>
    <t>Business Plan Power Pallet PP25 EU</t>
  </si>
  <si>
    <t>Ricavi</t>
  </si>
  <si>
    <t>Costi</t>
  </si>
  <si>
    <t>Costo del finanziamento</t>
  </si>
  <si>
    <t>ore/anno</t>
  </si>
  <si>
    <t>all'anno</t>
  </si>
  <si>
    <t>5 anni</t>
  </si>
  <si>
    <t>10 anni</t>
  </si>
  <si>
    <t>15 anni</t>
  </si>
  <si>
    <t>20 anni</t>
  </si>
  <si>
    <t>Profitto per durata progetto</t>
  </si>
  <si>
    <t>Importo prestito</t>
  </si>
  <si>
    <t>Periodo di rateizzazone</t>
  </si>
  <si>
    <t>Tasso d'interesse annuo</t>
  </si>
  <si>
    <t>Pagamento annuale</t>
  </si>
  <si>
    <t>ore/giorno</t>
  </si>
  <si>
    <t>Entrate GSE + Altro/anno</t>
  </si>
  <si>
    <t>Costo Biomassa</t>
  </si>
  <si>
    <t>Gestione</t>
  </si>
  <si>
    <t>Manutenzione</t>
  </si>
  <si>
    <t>Costi Amministrativi</t>
  </si>
  <si>
    <t>Assicurazione</t>
  </si>
  <si>
    <t>Altro</t>
  </si>
  <si>
    <t>Rcavi meno costi</t>
  </si>
  <si>
    <t>Ricavi ad ora annua</t>
  </si>
  <si>
    <t>Spese ad ora annua</t>
  </si>
  <si>
    <t>Finanziamento/anno</t>
  </si>
  <si>
    <t>MWh/ anno</t>
  </si>
  <si>
    <t>Profitto netto (compreso finanziamento)</t>
  </si>
  <si>
    <t>Rapporto copertura crediti</t>
  </si>
  <si>
    <t># anni per rientro</t>
  </si>
  <si>
    <t>Resa investimento senza leva</t>
  </si>
  <si>
    <t>Resa investimento con leva</t>
  </si>
  <si>
    <t>Dati Finanziari per Ore Funzionamento</t>
  </si>
  <si>
    <t>(pagata in rate mensili)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</si>
</sst>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[$€]#,##0"/>
    <numFmt numFmtId="171" formatCode="0.0"/>
    <numFmt numFmtId="172" formatCode="[$€-410]\ #,##0"/>
    <numFmt numFmtId="173" formatCode="[$€-2]\ #,##0;[Red]\-[$€-2]\ #,##0"/>
  </numFmts>
  <fonts count="20" x14ac:knownFonts="1">
    <font>
      <sz val="10"/>
      <name val="Arial"/>
    </font>
    <font>
      <sz val="10"/>
      <name val="Arial"/>
    </font>
    <font>
      <sz val="10"/>
      <color indexed="8"/>
      <name val="Arial"/>
    </font>
    <font>
      <b/>
      <sz val="10"/>
      <name val="Arial"/>
    </font>
    <font>
      <i/>
      <sz val="10"/>
      <name val="Arial"/>
    </font>
    <font>
      <sz val="8"/>
      <name val="Verdana"/>
    </font>
    <font>
      <b/>
      <sz val="12"/>
      <name val="Arial"/>
    </font>
    <font>
      <b/>
      <sz val="14"/>
      <name val="Arial"/>
    </font>
    <font>
      <sz val="18"/>
      <name val="Arial"/>
      <family val="2"/>
    </font>
    <font>
      <sz val="8"/>
      <name val="Arial"/>
    </font>
    <font>
      <i/>
      <sz val="12"/>
      <name val="Arial"/>
    </font>
    <font>
      <b/>
      <sz val="11"/>
      <name val="Arial"/>
    </font>
    <font>
      <sz val="10"/>
      <name val="Arial"/>
    </font>
    <font>
      <sz val="11"/>
      <name val="Arial"/>
    </font>
    <font>
      <sz val="10"/>
      <name val="Arial"/>
    </font>
    <font>
      <sz val="12"/>
      <name val="Arial"/>
    </font>
    <font>
      <b/>
      <i/>
      <sz val="12"/>
      <name val="Arial"/>
    </font>
    <font>
      <b/>
      <i/>
      <sz val="10"/>
      <name val="Arial"/>
    </font>
    <font>
      <sz val="18"/>
      <color indexed="8"/>
      <name val="Arial"/>
    </font>
    <font>
      <b/>
      <sz val="12"/>
      <color indexed="8"/>
      <name val="Arial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9900"/>
        <bgColor rgb="FFFF990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72" fontId="3" fillId="2" borderId="1" xfId="0" applyNumberFormat="1" applyFont="1" applyFill="1" applyBorder="1" applyAlignment="1"/>
    <xf numFmtId="10" fontId="3" fillId="0" borderId="0" xfId="0" applyNumberFormat="1" applyFont="1" applyAlignment="1"/>
    <xf numFmtId="0" fontId="6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10" fontId="2" fillId="6" borderId="2" xfId="0" applyNumberFormat="1" applyFont="1" applyFill="1" applyBorder="1" applyAlignment="1">
      <alignment horizontal="center"/>
    </xf>
    <xf numFmtId="172" fontId="2" fillId="6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72" fontId="3" fillId="0" borderId="0" xfId="0" applyNumberFormat="1" applyFont="1" applyAlignment="1">
      <alignment horizontal="right"/>
    </xf>
    <xf numFmtId="0" fontId="8" fillId="7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4" borderId="0" xfId="0" applyFont="1" applyFill="1" applyBorder="1" applyAlignment="1">
      <alignment horizontal="center" wrapText="1"/>
    </xf>
    <xf numFmtId="10" fontId="4" fillId="4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17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70" fontId="11" fillId="2" borderId="1" xfId="0" applyNumberFormat="1" applyFont="1" applyFill="1" applyBorder="1" applyAlignment="1">
      <alignment horizontal="center"/>
    </xf>
    <xf numFmtId="170" fontId="11" fillId="5" borderId="0" xfId="0" applyNumberFormat="1" applyFont="1" applyFill="1" applyBorder="1" applyAlignment="1">
      <alignment horizontal="center"/>
    </xf>
    <xf numFmtId="172" fontId="11" fillId="2" borderId="1" xfId="0" applyNumberFormat="1" applyFont="1" applyFill="1" applyBorder="1" applyAlignment="1">
      <alignment horizontal="center"/>
    </xf>
    <xf numFmtId="172" fontId="11" fillId="5" borderId="0" xfId="0" applyNumberFormat="1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4" borderId="0" xfId="0" applyFont="1" applyFill="1"/>
    <xf numFmtId="0" fontId="12" fillId="0" borderId="0" xfId="0" applyFont="1" applyAlignment="1">
      <alignment horizontal="center"/>
    </xf>
    <xf numFmtId="0" fontId="12" fillId="6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2" borderId="1" xfId="0" applyFont="1" applyFill="1" applyBorder="1" applyAlignment="1"/>
    <xf numFmtId="170" fontId="12" fillId="2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172" fontId="12" fillId="6" borderId="2" xfId="0" applyNumberFormat="1" applyFont="1" applyFill="1" applyBorder="1" applyAlignment="1">
      <alignment horizontal="center"/>
    </xf>
    <xf numFmtId="0" fontId="12" fillId="0" borderId="0" xfId="0" applyFont="1" applyAlignment="1"/>
    <xf numFmtId="0" fontId="12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0" fontId="12" fillId="0" borderId="0" xfId="0" applyNumberFormat="1" applyFont="1" applyAlignment="1"/>
    <xf numFmtId="0" fontId="12" fillId="4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71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70" fontId="12" fillId="4" borderId="0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71" fontId="12" fillId="5" borderId="0" xfId="0" applyNumberFormat="1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170" fontId="12" fillId="5" borderId="0" xfId="0" applyNumberFormat="1" applyFont="1" applyFill="1" applyBorder="1" applyAlignment="1">
      <alignment horizontal="center"/>
    </xf>
    <xf numFmtId="2" fontId="12" fillId="5" borderId="0" xfId="0" applyNumberFormat="1" applyFont="1" applyFill="1" applyBorder="1" applyAlignment="1">
      <alignment horizontal="center"/>
    </xf>
    <xf numFmtId="0" fontId="12" fillId="5" borderId="0" xfId="0" applyFont="1" applyFill="1"/>
    <xf numFmtId="17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3" fontId="12" fillId="0" borderId="0" xfId="0" applyNumberFormat="1" applyFont="1" applyAlignment="1">
      <alignment horizontal="left"/>
    </xf>
    <xf numFmtId="170" fontId="12" fillId="2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172" fontId="3" fillId="0" borderId="0" xfId="0" applyNumberFormat="1" applyFont="1" applyFill="1" applyAlignment="1">
      <alignment horizontal="right"/>
    </xf>
    <xf numFmtId="170" fontId="11" fillId="4" borderId="0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left" vertical="center"/>
    </xf>
    <xf numFmtId="0" fontId="12" fillId="7" borderId="0" xfId="0" applyFont="1" applyFill="1"/>
    <xf numFmtId="0" fontId="12" fillId="5" borderId="0" xfId="0" applyFont="1" applyFill="1" applyAlignment="1">
      <alignment horizontal="center"/>
    </xf>
    <xf numFmtId="0" fontId="10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0" fontId="7" fillId="5" borderId="0" xfId="0" applyFont="1" applyFill="1" applyAlignment="1">
      <alignment horizontal="left"/>
    </xf>
    <xf numFmtId="0" fontId="12" fillId="5" borderId="0" xfId="0" applyFont="1" applyFill="1" applyAlignment="1">
      <alignment horizontal="right"/>
    </xf>
    <xf numFmtId="172" fontId="9" fillId="0" borderId="0" xfId="0" applyNumberFormat="1" applyFont="1" applyFill="1" applyAlignment="1">
      <alignment horizontal="center"/>
    </xf>
    <xf numFmtId="172" fontId="9" fillId="5" borderId="0" xfId="0" applyNumberFormat="1" applyFont="1" applyFill="1" applyAlignment="1">
      <alignment horizontal="center"/>
    </xf>
    <xf numFmtId="170" fontId="0" fillId="0" borderId="0" xfId="0" applyNumberFormat="1" applyAlignment="1">
      <alignment horizontal="center"/>
    </xf>
    <xf numFmtId="170" fontId="0" fillId="5" borderId="0" xfId="0" applyNumberFormat="1" applyFill="1" applyAlignment="1">
      <alignment horizontal="center"/>
    </xf>
    <xf numFmtId="9" fontId="2" fillId="6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72" fontId="1" fillId="6" borderId="2" xfId="0" applyNumberFormat="1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173" fontId="6" fillId="0" borderId="2" xfId="0" applyNumberFormat="1" applyFont="1" applyBorder="1" applyAlignment="1">
      <alignment horizontal="center"/>
    </xf>
    <xf numFmtId="173" fontId="1" fillId="0" borderId="2" xfId="0" applyNumberFormat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173" fontId="6" fillId="5" borderId="2" xfId="0" applyNumberFormat="1" applyFont="1" applyFill="1" applyBorder="1" applyAlignment="1">
      <alignment horizontal="center"/>
    </xf>
    <xf numFmtId="173" fontId="1" fillId="5" borderId="2" xfId="0" applyNumberFormat="1" applyFont="1" applyFill="1" applyBorder="1" applyAlignment="1">
      <alignment horizontal="center"/>
    </xf>
    <xf numFmtId="173" fontId="1" fillId="0" borderId="2" xfId="0" applyNumberFormat="1" applyFont="1" applyFill="1" applyBorder="1" applyAlignment="1">
      <alignment horizontal="center"/>
    </xf>
    <xf numFmtId="171" fontId="12" fillId="4" borderId="0" xfId="0" applyNumberFormat="1" applyFont="1" applyFill="1" applyBorder="1" applyAlignment="1">
      <alignment horizontal="center"/>
    </xf>
    <xf numFmtId="170" fontId="3" fillId="4" borderId="0" xfId="0" applyNumberFormat="1" applyFont="1" applyFill="1" applyBorder="1" applyAlignment="1">
      <alignment horizontal="center"/>
    </xf>
    <xf numFmtId="172" fontId="12" fillId="4" borderId="0" xfId="0" applyNumberFormat="1" applyFont="1" applyFill="1" applyBorder="1" applyAlignment="1">
      <alignment horizontal="center"/>
    </xf>
    <xf numFmtId="2" fontId="12" fillId="4" borderId="0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73" fontId="1" fillId="0" borderId="1" xfId="0" applyNumberFormat="1" applyFont="1" applyBorder="1" applyAlignment="1">
      <alignment horizontal="center"/>
    </xf>
    <xf numFmtId="173" fontId="1" fillId="0" borderId="1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6" fillId="7" borderId="5" xfId="0" applyFont="1" applyFill="1" applyBorder="1" applyAlignment="1"/>
    <xf numFmtId="0" fontId="7" fillId="7" borderId="5" xfId="0" applyFont="1" applyFill="1" applyBorder="1" applyAlignment="1">
      <alignment horizontal="center" vertical="center"/>
    </xf>
    <xf numFmtId="0" fontId="0" fillId="7" borderId="5" xfId="0" applyFill="1" applyBorder="1" applyAlignment="1"/>
    <xf numFmtId="0" fontId="12" fillId="7" borderId="6" xfId="0" applyFont="1" applyFill="1" applyBorder="1"/>
    <xf numFmtId="0" fontId="3" fillId="2" borderId="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6" borderId="2" xfId="0" applyFont="1" applyFill="1" applyBorder="1" applyAlignment="1">
      <alignment horizontal="center"/>
    </xf>
    <xf numFmtId="173" fontId="1" fillId="0" borderId="2" xfId="0" applyNumberFormat="1" applyFont="1" applyBorder="1" applyAlignment="1"/>
    <xf numFmtId="0" fontId="18" fillId="3" borderId="1" xfId="0" applyFont="1" applyFill="1" applyBorder="1" applyAlignment="1">
      <alignment horizontal="left" vertical="center"/>
    </xf>
    <xf numFmtId="172" fontId="19" fillId="6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0" fontId="12" fillId="0" borderId="1" xfId="0" applyFont="1" applyBorder="1" applyAlignment="1">
      <alignment horizontal="left" wrapText="1"/>
    </xf>
    <xf numFmtId="172" fontId="7" fillId="5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72" fontId="10" fillId="5" borderId="0" xfId="0" applyNumberFormat="1" applyFont="1" applyFill="1" applyAlignment="1">
      <alignment horizontal="left"/>
    </xf>
    <xf numFmtId="0" fontId="12" fillId="0" borderId="1" xfId="0" applyFont="1" applyBorder="1" applyAlignment="1">
      <alignment horizontal="left"/>
    </xf>
    <xf numFmtId="170" fontId="12" fillId="0" borderId="0" xfId="0" applyNumberFormat="1" applyFont="1" applyFill="1" applyBorder="1" applyAlignment="1">
      <alignment horizontal="left" wrapText="1"/>
    </xf>
    <xf numFmtId="171" fontId="12" fillId="2" borderId="1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2" borderId="1" xfId="0" applyFont="1" applyFill="1" applyBorder="1" applyAlignme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0" fontId="0" fillId="0" borderId="3" xfId="0" applyFont="1" applyBorder="1" applyAlignment="1">
      <alignment horizontal="left" wrapText="1"/>
    </xf>
    <xf numFmtId="0" fontId="0" fillId="0" borderId="3" xfId="0" applyFont="1" applyBorder="1" applyAlignment="1">
      <alignment horizontal="left"/>
    </xf>
    <xf numFmtId="170" fontId="0" fillId="2" borderId="3" xfId="0" applyNumberFormat="1" applyFont="1" applyFill="1" applyBorder="1" applyAlignment="1">
      <alignment horizontal="left" wrapText="1"/>
    </xf>
    <xf numFmtId="171" fontId="0" fillId="2" borderId="3" xfId="0" applyNumberFormat="1" applyFont="1" applyFill="1" applyBorder="1" applyAlignment="1">
      <alignment horizontal="left" wrapText="1"/>
    </xf>
    <xf numFmtId="0" fontId="0" fillId="0" borderId="0" xfId="0" applyFont="1"/>
    <xf numFmtId="170" fontId="0" fillId="0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8537"/>
  <sheetViews>
    <sheetView tabSelected="1" topLeftCell="A4" zoomScale="90" zoomScaleNormal="90" workbookViewId="0">
      <pane xSplit="4" topLeftCell="E1" activePane="topRight" state="frozen"/>
      <selection activeCell="A18" sqref="A18"/>
      <selection pane="topRight" activeCell="H8" sqref="H8"/>
    </sheetView>
  </sheetViews>
  <sheetFormatPr defaultColWidth="14.42578125" defaultRowHeight="15.75" customHeight="1" x14ac:dyDescent="0.2"/>
  <cols>
    <col min="1" max="1" width="10.42578125" style="36" customWidth="1"/>
    <col min="2" max="2" width="11.140625" style="36" customWidth="1"/>
    <col min="3" max="3" width="10" style="36" customWidth="1"/>
    <col min="4" max="4" width="36" style="36" customWidth="1"/>
    <col min="5" max="5" width="3.140625" style="45" customWidth="1"/>
    <col min="6" max="6" width="11.85546875" style="36" customWidth="1"/>
    <col min="7" max="7" width="11.7109375" style="45" customWidth="1"/>
    <col min="8" max="9" width="11.28515625" style="36" customWidth="1"/>
    <col min="10" max="10" width="10" style="36" customWidth="1"/>
    <col min="11" max="11" width="10.28515625" style="36" customWidth="1"/>
    <col min="12" max="12" width="2.7109375" style="36" customWidth="1"/>
    <col min="13" max="13" width="12.85546875" style="36" customWidth="1"/>
    <col min="14" max="14" width="11.28515625" style="36" customWidth="1"/>
    <col min="15" max="15" width="13" style="36" customWidth="1"/>
    <col min="16" max="16" width="11.140625" style="36" customWidth="1"/>
    <col min="17" max="18" width="12" style="36" customWidth="1"/>
    <col min="19" max="19" width="12.42578125" style="36" customWidth="1"/>
    <col min="20" max="20" width="3.140625" style="45" customWidth="1"/>
    <col min="21" max="21" width="2.28515625" style="36" customWidth="1"/>
    <col min="47" max="16384" width="14.42578125" style="32"/>
  </cols>
  <sheetData>
    <row r="1" spans="1:46" s="72" customFormat="1" ht="35.1" customHeight="1" x14ac:dyDescent="0.35">
      <c r="A1" s="113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1"/>
      <c r="M1" s="31"/>
      <c r="N1" s="31"/>
      <c r="O1" s="31"/>
      <c r="P1" s="31"/>
      <c r="Q1" s="31"/>
      <c r="R1" s="31"/>
      <c r="S1" s="31"/>
      <c r="T1" s="31"/>
      <c r="U1" s="3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s="34" customFormat="1" ht="15" customHeight="1" x14ac:dyDescent="0.35">
      <c r="A2" s="16"/>
      <c r="B2" s="16"/>
      <c r="C2" s="16"/>
      <c r="D2" s="16"/>
      <c r="E2" s="16"/>
      <c r="F2" s="16"/>
      <c r="G2" s="16"/>
      <c r="H2" s="16"/>
      <c r="I2" s="16"/>
      <c r="J2" s="33"/>
      <c r="K2" s="33"/>
      <c r="L2" s="33"/>
      <c r="M2" s="33"/>
      <c r="N2" s="33"/>
      <c r="O2" s="33"/>
      <c r="P2" s="33"/>
      <c r="Q2" s="33"/>
      <c r="R2" s="33"/>
      <c r="U2" s="35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ht="15" customHeight="1" x14ac:dyDescent="0.35">
      <c r="D3" s="17" t="s">
        <v>2</v>
      </c>
      <c r="E3" s="17"/>
      <c r="F3" s="37"/>
      <c r="G3" s="37"/>
      <c r="H3" s="16"/>
      <c r="J3" s="33"/>
      <c r="S3" s="32"/>
      <c r="T3" s="32"/>
      <c r="U3" s="35"/>
    </row>
    <row r="4" spans="1:46" ht="15" customHeight="1" x14ac:dyDescent="0.25">
      <c r="A4" s="6" t="s">
        <v>5</v>
      </c>
      <c r="J4" s="33"/>
      <c r="O4" s="32"/>
      <c r="P4" s="32"/>
      <c r="Q4" s="32"/>
      <c r="R4" s="32"/>
      <c r="S4" s="32"/>
      <c r="T4" s="32"/>
      <c r="U4" s="35"/>
    </row>
    <row r="5" spans="1:46" ht="15.95" customHeight="1" x14ac:dyDescent="0.25">
      <c r="A5" s="6"/>
      <c r="B5" s="11">
        <v>1</v>
      </c>
      <c r="C5" s="26" t="s">
        <v>3</v>
      </c>
      <c r="D5" s="84"/>
      <c r="S5" s="32"/>
      <c r="T5" s="32"/>
      <c r="U5" s="35"/>
    </row>
    <row r="6" spans="1:46" ht="15.95" customHeight="1" x14ac:dyDescent="0.25">
      <c r="A6" s="26"/>
      <c r="B6" s="111">
        <v>25</v>
      </c>
      <c r="C6" s="110" t="s">
        <v>4</v>
      </c>
      <c r="D6" s="84"/>
      <c r="F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32"/>
      <c r="T6" s="32"/>
      <c r="U6" s="35"/>
    </row>
    <row r="7" spans="1:46" ht="18" customHeight="1" x14ac:dyDescent="0.25">
      <c r="B7" s="15">
        <f>B5*B6</f>
        <v>25</v>
      </c>
      <c r="C7" s="26" t="s">
        <v>24</v>
      </c>
      <c r="D7" s="84"/>
      <c r="H7" s="118" t="s">
        <v>39</v>
      </c>
      <c r="I7" s="118"/>
      <c r="J7" s="118"/>
      <c r="K7" s="21"/>
      <c r="L7" s="45"/>
      <c r="M7" s="45"/>
      <c r="U7" s="44"/>
    </row>
    <row r="8" spans="1:46" ht="15" customHeight="1" x14ac:dyDescent="0.2">
      <c r="H8" s="45"/>
      <c r="I8" s="10">
        <v>287</v>
      </c>
      <c r="J8" s="134" t="s">
        <v>25</v>
      </c>
      <c r="K8" s="119"/>
      <c r="L8" s="119"/>
      <c r="M8" s="119"/>
      <c r="U8" s="44"/>
    </row>
    <row r="9" spans="1:46" ht="15" customHeight="1" x14ac:dyDescent="0.25">
      <c r="A9" s="6" t="s">
        <v>6</v>
      </c>
      <c r="H9" s="45"/>
      <c r="I9" s="10">
        <v>0</v>
      </c>
      <c r="J9" s="132" t="s">
        <v>26</v>
      </c>
      <c r="K9" s="38"/>
      <c r="L9" s="38"/>
      <c r="M9" s="38"/>
      <c r="U9" s="44"/>
    </row>
    <row r="10" spans="1:46" ht="15" customHeight="1" x14ac:dyDescent="0.2">
      <c r="B10" s="85">
        <v>68000</v>
      </c>
      <c r="C10" s="131" t="s">
        <v>34</v>
      </c>
      <c r="H10" s="45"/>
      <c r="I10" s="10">
        <v>0</v>
      </c>
      <c r="J10" s="135" t="s">
        <v>27</v>
      </c>
      <c r="K10" s="123"/>
      <c r="L10" s="123"/>
      <c r="M10" s="123"/>
      <c r="U10" s="44"/>
    </row>
    <row r="11" spans="1:46" ht="15" customHeight="1" x14ac:dyDescent="0.2">
      <c r="B11" s="138" t="s">
        <v>35</v>
      </c>
      <c r="H11" s="45"/>
      <c r="I11" s="25">
        <f>I10+I8+I9</f>
        <v>287</v>
      </c>
      <c r="J11" s="66" t="s">
        <v>28</v>
      </c>
      <c r="K11" s="45"/>
      <c r="L11" s="45"/>
      <c r="M11" s="45"/>
      <c r="U11" s="44"/>
    </row>
    <row r="12" spans="1:46" ht="15" customHeight="1" x14ac:dyDescent="0.2">
      <c r="B12" s="69">
        <f>B10*B5</f>
        <v>68000</v>
      </c>
      <c r="C12" s="126" t="s">
        <v>0</v>
      </c>
      <c r="D12" s="127"/>
      <c r="E12" s="127"/>
      <c r="F12" s="127"/>
      <c r="G12" s="67"/>
      <c r="H12" s="45"/>
      <c r="I12" s="45"/>
      <c r="J12" s="45"/>
      <c r="K12" s="45"/>
      <c r="L12" s="45"/>
      <c r="M12" s="45"/>
      <c r="U12" s="44"/>
    </row>
    <row r="13" spans="1:46" ht="23.1" customHeight="1" x14ac:dyDescent="0.25">
      <c r="A13" s="32"/>
      <c r="B13" s="32"/>
      <c r="C13" s="32"/>
      <c r="D13" s="32"/>
      <c r="E13" s="32"/>
      <c r="F13" s="32"/>
      <c r="G13" s="32"/>
      <c r="H13" s="26" t="s">
        <v>40</v>
      </c>
      <c r="I13" s="43"/>
      <c r="J13" s="43"/>
      <c r="K13" s="43"/>
      <c r="L13" s="45"/>
      <c r="M13" s="45"/>
      <c r="N13" s="103"/>
      <c r="O13" s="104"/>
      <c r="P13" s="105" t="s">
        <v>48</v>
      </c>
      <c r="Q13" s="106"/>
      <c r="R13" s="106"/>
      <c r="S13" s="107"/>
      <c r="U13" s="44"/>
    </row>
    <row r="14" spans="1:46" ht="17.100000000000001" customHeight="1" x14ac:dyDescent="0.25">
      <c r="A14" s="6" t="s">
        <v>7</v>
      </c>
      <c r="H14" s="45"/>
      <c r="I14" s="10">
        <v>70</v>
      </c>
      <c r="J14" s="136" t="s">
        <v>36</v>
      </c>
      <c r="K14" s="124"/>
      <c r="L14" s="124"/>
      <c r="M14" s="124"/>
      <c r="N14" s="86" t="s">
        <v>42</v>
      </c>
      <c r="O14" s="87" t="s">
        <v>43</v>
      </c>
      <c r="P14" s="88" t="s">
        <v>44</v>
      </c>
      <c r="Q14" s="88" t="s">
        <v>45</v>
      </c>
      <c r="R14" s="88" t="s">
        <v>46</v>
      </c>
      <c r="S14" s="88" t="s">
        <v>47</v>
      </c>
      <c r="T14" s="100"/>
      <c r="U14" s="44"/>
    </row>
    <row r="15" spans="1:46" ht="15" customHeight="1" x14ac:dyDescent="0.25">
      <c r="B15" s="85">
        <v>3500</v>
      </c>
      <c r="C15" s="131" t="s">
        <v>9</v>
      </c>
      <c r="H15" s="45"/>
      <c r="I15" s="7">
        <v>1.1000000000000001</v>
      </c>
      <c r="J15" s="136" t="s">
        <v>29</v>
      </c>
      <c r="K15" s="124"/>
      <c r="L15" s="124"/>
      <c r="M15" s="124"/>
      <c r="N15" s="89">
        <v>2500</v>
      </c>
      <c r="O15" s="90">
        <f t="shared" ref="O15:O27" si="0">O37</f>
        <v>-2576.4744348537706</v>
      </c>
      <c r="P15" s="91">
        <f t="shared" ref="P15:P27" si="1">O15*5</f>
        <v>-12882.372174268854</v>
      </c>
      <c r="Q15" s="91">
        <f t="shared" ref="Q15:Q18" si="2">O15*10</f>
        <v>-25764.744348537708</v>
      </c>
      <c r="R15" s="91">
        <f t="shared" ref="R15:R27" si="3">O15*15</f>
        <v>-38647.116522806558</v>
      </c>
      <c r="S15" s="91">
        <f t="shared" ref="S15:S20" si="4">O15*20</f>
        <v>-51529.488697075416</v>
      </c>
      <c r="T15" s="101"/>
      <c r="U15" s="44"/>
    </row>
    <row r="16" spans="1:46" ht="15" customHeight="1" x14ac:dyDescent="0.25">
      <c r="B16" s="85">
        <v>2000</v>
      </c>
      <c r="C16" s="132" t="s">
        <v>10</v>
      </c>
      <c r="H16" s="45"/>
      <c r="I16" s="42">
        <v>50</v>
      </c>
      <c r="J16" s="134" t="s">
        <v>30</v>
      </c>
      <c r="K16" s="119"/>
      <c r="L16" s="119"/>
      <c r="M16" s="119"/>
      <c r="N16" s="89">
        <v>3000</v>
      </c>
      <c r="O16" s="90">
        <f t="shared" si="0"/>
        <v>-1201.4744348537706</v>
      </c>
      <c r="P16" s="91">
        <f t="shared" si="1"/>
        <v>-6007.3721742688531</v>
      </c>
      <c r="Q16" s="112">
        <f t="shared" si="2"/>
        <v>-12014.744348537706</v>
      </c>
      <c r="R16" s="91">
        <f t="shared" si="3"/>
        <v>-18022.116522806558</v>
      </c>
      <c r="S16" s="91">
        <f t="shared" si="4"/>
        <v>-24029.488697075412</v>
      </c>
      <c r="T16" s="101"/>
      <c r="U16" s="44"/>
    </row>
    <row r="17" spans="1:21" ht="15" customHeight="1" x14ac:dyDescent="0.25">
      <c r="B17" s="12">
        <f>B15+B16</f>
        <v>5500</v>
      </c>
      <c r="C17" s="132" t="s">
        <v>11</v>
      </c>
      <c r="H17" s="45"/>
      <c r="I17" s="42">
        <v>50</v>
      </c>
      <c r="J17" s="134" t="s">
        <v>31</v>
      </c>
      <c r="K17" s="119"/>
      <c r="L17" s="119"/>
      <c r="M17" s="119"/>
      <c r="N17" s="92">
        <v>3500</v>
      </c>
      <c r="O17" s="93">
        <f t="shared" si="0"/>
        <v>173.52556514622938</v>
      </c>
      <c r="P17" s="94">
        <f t="shared" si="1"/>
        <v>867.62782573114691</v>
      </c>
      <c r="Q17" s="94">
        <f t="shared" si="2"/>
        <v>1735.2556514622938</v>
      </c>
      <c r="R17" s="94">
        <f t="shared" si="3"/>
        <v>2602.8834771934407</v>
      </c>
      <c r="S17" s="94">
        <f t="shared" si="4"/>
        <v>3470.5113029245877</v>
      </c>
      <c r="U17" s="44"/>
    </row>
    <row r="18" spans="1:21" ht="15" customHeight="1" x14ac:dyDescent="0.25">
      <c r="B18" s="12">
        <f>B17*B5</f>
        <v>5500</v>
      </c>
      <c r="C18" s="66" t="s">
        <v>12</v>
      </c>
      <c r="H18" s="45"/>
      <c r="I18" s="42">
        <v>1000</v>
      </c>
      <c r="J18" s="137" t="s">
        <v>32</v>
      </c>
      <c r="K18" s="125"/>
      <c r="L18" s="125"/>
      <c r="M18" s="125"/>
      <c r="N18" s="89">
        <v>4000</v>
      </c>
      <c r="O18" s="90">
        <f t="shared" si="0"/>
        <v>1548.5255651462294</v>
      </c>
      <c r="P18" s="95">
        <f t="shared" si="1"/>
        <v>7742.6278257311469</v>
      </c>
      <c r="Q18" s="95">
        <f t="shared" si="2"/>
        <v>15485.255651462294</v>
      </c>
      <c r="R18" s="95">
        <f t="shared" si="3"/>
        <v>23227.883477193442</v>
      </c>
      <c r="S18" s="95">
        <f t="shared" si="4"/>
        <v>30970.511302924588</v>
      </c>
      <c r="T18" s="102"/>
      <c r="U18" s="44"/>
    </row>
    <row r="19" spans="1:21" ht="15" customHeight="1" x14ac:dyDescent="0.25">
      <c r="B19" s="4"/>
      <c r="C19" s="39"/>
      <c r="H19" s="45"/>
      <c r="I19" s="42">
        <v>500</v>
      </c>
      <c r="J19" s="137" t="s">
        <v>33</v>
      </c>
      <c r="K19" s="125"/>
      <c r="L19" s="125"/>
      <c r="M19" s="125"/>
      <c r="N19" s="89">
        <v>4500</v>
      </c>
      <c r="O19" s="90">
        <f t="shared" si="0"/>
        <v>2923.5255651462294</v>
      </c>
      <c r="P19" s="91">
        <f t="shared" si="1"/>
        <v>14617.627825731146</v>
      </c>
      <c r="Q19" s="91">
        <f>O19*10</f>
        <v>29235.255651462292</v>
      </c>
      <c r="R19" s="91">
        <f t="shared" si="3"/>
        <v>43852.883477193442</v>
      </c>
      <c r="S19" s="91">
        <f t="shared" si="4"/>
        <v>58470.511302924584</v>
      </c>
      <c r="T19" s="101"/>
      <c r="U19" s="44"/>
    </row>
    <row r="20" spans="1:21" ht="15" customHeight="1" x14ac:dyDescent="0.25">
      <c r="A20" s="6" t="s">
        <v>8</v>
      </c>
      <c r="B20" s="4"/>
      <c r="C20" s="39"/>
      <c r="H20" s="45"/>
      <c r="I20" s="42">
        <v>500</v>
      </c>
      <c r="J20" s="137" t="s">
        <v>37</v>
      </c>
      <c r="K20" s="125"/>
      <c r="L20" s="125"/>
      <c r="M20" s="125"/>
      <c r="N20" s="89">
        <v>5000</v>
      </c>
      <c r="O20" s="90">
        <f t="shared" si="0"/>
        <v>4298.5255651462294</v>
      </c>
      <c r="P20" s="91">
        <f t="shared" si="1"/>
        <v>21492.627825731146</v>
      </c>
      <c r="Q20" s="91">
        <f t="shared" ref="Q20:Q27" si="5">O20*10</f>
        <v>42985.255651462292</v>
      </c>
      <c r="R20" s="91">
        <f t="shared" si="3"/>
        <v>64477.883477193442</v>
      </c>
      <c r="S20" s="91">
        <f t="shared" si="4"/>
        <v>85970.511302924584</v>
      </c>
      <c r="T20" s="101"/>
      <c r="U20" s="44"/>
    </row>
    <row r="21" spans="1:21" ht="15" customHeight="1" x14ac:dyDescent="0.25">
      <c r="A21" s="6"/>
      <c r="B21" s="4" t="s">
        <v>13</v>
      </c>
      <c r="C21" s="39"/>
      <c r="H21" s="45"/>
      <c r="I21" s="45"/>
      <c r="J21" s="45"/>
      <c r="K21" s="41"/>
      <c r="L21" s="45"/>
      <c r="M21" s="45"/>
      <c r="N21" s="89">
        <v>5500</v>
      </c>
      <c r="O21" s="90">
        <f t="shared" si="0"/>
        <v>5673.5255651462294</v>
      </c>
      <c r="P21" s="91">
        <f t="shared" si="1"/>
        <v>28367.627825731146</v>
      </c>
      <c r="Q21" s="91">
        <f t="shared" si="5"/>
        <v>56735.255651462292</v>
      </c>
      <c r="R21" s="91">
        <f t="shared" si="3"/>
        <v>85102.883477193434</v>
      </c>
      <c r="S21" s="91">
        <f>O21*20</f>
        <v>113470.51130292458</v>
      </c>
      <c r="T21" s="101"/>
      <c r="U21" s="44"/>
    </row>
    <row r="22" spans="1:21" ht="15" customHeight="1" x14ac:dyDescent="0.25">
      <c r="B22" s="85">
        <v>7500</v>
      </c>
      <c r="C22" s="131" t="s">
        <v>14</v>
      </c>
      <c r="H22" s="43"/>
      <c r="I22" s="43"/>
      <c r="J22" s="43"/>
      <c r="K22" s="43"/>
      <c r="L22" s="45"/>
      <c r="M22" s="45"/>
      <c r="N22" s="89">
        <v>6000</v>
      </c>
      <c r="O22" s="90">
        <f t="shared" si="0"/>
        <v>7048.5255651462294</v>
      </c>
      <c r="P22" s="91">
        <f t="shared" si="1"/>
        <v>35242.62782573115</v>
      </c>
      <c r="Q22" s="91">
        <f t="shared" si="5"/>
        <v>70485.255651462299</v>
      </c>
      <c r="R22" s="91">
        <f t="shared" si="3"/>
        <v>105727.88347719343</v>
      </c>
      <c r="S22" s="91">
        <f t="shared" ref="S22:S27" si="6">O22*20</f>
        <v>140970.5113029246</v>
      </c>
      <c r="T22" s="101"/>
      <c r="U22" s="35"/>
    </row>
    <row r="23" spans="1:21" ht="15" customHeight="1" x14ac:dyDescent="0.25">
      <c r="B23" s="85">
        <v>5000</v>
      </c>
      <c r="C23" s="131" t="s">
        <v>15</v>
      </c>
      <c r="H23" s="118" t="s">
        <v>41</v>
      </c>
      <c r="I23" s="118"/>
      <c r="J23" s="118"/>
      <c r="K23" s="118"/>
      <c r="L23" s="45"/>
      <c r="M23" s="45"/>
      <c r="N23" s="89">
        <v>6500</v>
      </c>
      <c r="O23" s="90">
        <f t="shared" si="0"/>
        <v>8423.5255651462285</v>
      </c>
      <c r="P23" s="91">
        <f t="shared" si="1"/>
        <v>42117.627825731142</v>
      </c>
      <c r="Q23" s="91">
        <f t="shared" si="5"/>
        <v>84235.255651462285</v>
      </c>
      <c r="R23" s="91">
        <f t="shared" si="3"/>
        <v>126352.88347719342</v>
      </c>
      <c r="S23" s="91">
        <f t="shared" si="6"/>
        <v>168470.51130292457</v>
      </c>
      <c r="U23" s="35"/>
    </row>
    <row r="24" spans="1:21" ht="15" customHeight="1" x14ac:dyDescent="0.25">
      <c r="B24" s="85">
        <v>3000</v>
      </c>
      <c r="C24" s="131" t="s">
        <v>16</v>
      </c>
      <c r="H24" s="45"/>
      <c r="I24" s="114">
        <v>50000</v>
      </c>
      <c r="J24" s="129" t="s">
        <v>49</v>
      </c>
      <c r="K24" s="130"/>
      <c r="L24" s="130"/>
      <c r="M24" s="130"/>
      <c r="N24" s="92">
        <v>7000</v>
      </c>
      <c r="O24" s="93">
        <f t="shared" si="0"/>
        <v>9798.5255651462285</v>
      </c>
      <c r="P24" s="94">
        <f t="shared" si="1"/>
        <v>48992.627825731142</v>
      </c>
      <c r="Q24" s="94">
        <f t="shared" si="5"/>
        <v>97985.255651462285</v>
      </c>
      <c r="R24" s="94">
        <f t="shared" si="3"/>
        <v>146977.88347719342</v>
      </c>
      <c r="S24" s="94">
        <f t="shared" si="6"/>
        <v>195970.51130292457</v>
      </c>
      <c r="U24" s="35"/>
    </row>
    <row r="25" spans="1:21" ht="15" customHeight="1" x14ac:dyDescent="0.25">
      <c r="B25" s="85">
        <v>3000</v>
      </c>
      <c r="C25" s="131" t="s">
        <v>17</v>
      </c>
      <c r="H25" s="45"/>
      <c r="I25" s="9">
        <v>0.08</v>
      </c>
      <c r="J25" s="136" t="s">
        <v>51</v>
      </c>
      <c r="K25" s="124"/>
      <c r="L25" s="124"/>
      <c r="M25" s="124"/>
      <c r="N25" s="89">
        <v>7500</v>
      </c>
      <c r="O25" s="90">
        <f t="shared" si="0"/>
        <v>11173.525565146228</v>
      </c>
      <c r="P25" s="91">
        <f t="shared" si="1"/>
        <v>55867.627825731142</v>
      </c>
      <c r="Q25" s="91">
        <f t="shared" si="5"/>
        <v>111735.25565146228</v>
      </c>
      <c r="R25" s="91">
        <f t="shared" si="3"/>
        <v>167602.88347719342</v>
      </c>
      <c r="S25" s="91">
        <f t="shared" si="6"/>
        <v>223470.51130292457</v>
      </c>
      <c r="T25" s="101"/>
      <c r="U25" s="35"/>
    </row>
    <row r="26" spans="1:21" ht="15" customHeight="1" x14ac:dyDescent="0.25">
      <c r="B26" s="85">
        <v>1000</v>
      </c>
      <c r="C26" s="131" t="s">
        <v>18</v>
      </c>
      <c r="H26" s="45"/>
      <c r="I26" s="7">
        <v>10</v>
      </c>
      <c r="J26" s="136" t="s">
        <v>50</v>
      </c>
      <c r="K26" s="124"/>
      <c r="L26" s="124"/>
      <c r="M26" s="124"/>
      <c r="N26" s="89">
        <v>8000</v>
      </c>
      <c r="O26" s="90">
        <f t="shared" si="0"/>
        <v>12548.525565146228</v>
      </c>
      <c r="P26" s="91">
        <f t="shared" si="1"/>
        <v>62742.627825731142</v>
      </c>
      <c r="Q26" s="91">
        <f t="shared" si="5"/>
        <v>125485.25565146228</v>
      </c>
      <c r="R26" s="91">
        <f t="shared" si="3"/>
        <v>188227.88347719342</v>
      </c>
      <c r="S26" s="91">
        <f t="shared" si="6"/>
        <v>250970.51130292457</v>
      </c>
      <c r="T26" s="101"/>
      <c r="U26" s="35"/>
    </row>
    <row r="27" spans="1:21" ht="15" customHeight="1" x14ac:dyDescent="0.25">
      <c r="B27" s="4">
        <f>SUM(B22:B26)</f>
        <v>19500</v>
      </c>
      <c r="C27" s="133" t="s">
        <v>19</v>
      </c>
      <c r="D27" s="128"/>
      <c r="E27" s="128"/>
      <c r="F27" s="128"/>
      <c r="H27" s="45"/>
      <c r="I27" s="42">
        <f>PMT(I25,I26,I24)</f>
        <v>-7451.4744348537706</v>
      </c>
      <c r="J27" s="134" t="s">
        <v>52</v>
      </c>
      <c r="K27" s="119"/>
      <c r="L27" s="119"/>
      <c r="M27" s="119"/>
      <c r="N27" s="89">
        <v>8500</v>
      </c>
      <c r="O27" s="90">
        <f t="shared" si="0"/>
        <v>13923.525565146228</v>
      </c>
      <c r="P27" s="91">
        <f t="shared" si="1"/>
        <v>69617.62782573115</v>
      </c>
      <c r="Q27" s="91">
        <f t="shared" si="5"/>
        <v>139235.2556514623</v>
      </c>
      <c r="R27" s="91">
        <f t="shared" si="3"/>
        <v>208852.88347719342</v>
      </c>
      <c r="S27" s="91">
        <f t="shared" si="6"/>
        <v>278470.5113029246</v>
      </c>
      <c r="T27" s="101"/>
      <c r="U27" s="35"/>
    </row>
    <row r="28" spans="1:21" ht="15" customHeight="1" x14ac:dyDescent="0.2">
      <c r="A28" s="45"/>
      <c r="B28" s="83">
        <v>0</v>
      </c>
      <c r="C28" s="131" t="s">
        <v>20</v>
      </c>
      <c r="D28" s="68"/>
      <c r="E28" s="68"/>
      <c r="F28" s="68"/>
      <c r="H28" s="45"/>
      <c r="I28" s="45"/>
      <c r="J28" s="139" t="s">
        <v>72</v>
      </c>
      <c r="K28" s="124"/>
      <c r="L28" s="124"/>
      <c r="M28" s="124"/>
      <c r="N28" s="45"/>
      <c r="O28" s="45"/>
      <c r="P28" s="45"/>
      <c r="Q28" s="45"/>
      <c r="R28" s="45"/>
      <c r="S28" s="32"/>
      <c r="T28" s="32"/>
      <c r="U28" s="35"/>
    </row>
    <row r="29" spans="1:21" ht="15" customHeight="1" x14ac:dyDescent="0.2">
      <c r="B29" s="4">
        <f>(B27*B5)*(1-B28)</f>
        <v>19500</v>
      </c>
      <c r="C29" s="24" t="s">
        <v>21</v>
      </c>
      <c r="S29" s="32"/>
      <c r="T29" s="32"/>
      <c r="U29" s="35"/>
    </row>
    <row r="30" spans="1:21" ht="18" customHeight="1" x14ac:dyDescent="0.2">
      <c r="B30" s="5"/>
      <c r="C30" s="3"/>
      <c r="J30" s="33"/>
      <c r="S30" s="32"/>
      <c r="T30" s="32"/>
      <c r="U30" s="35"/>
    </row>
    <row r="31" spans="1:21" ht="18" customHeight="1" x14ac:dyDescent="0.2">
      <c r="A31" s="74" t="s">
        <v>23</v>
      </c>
      <c r="B31" s="75"/>
      <c r="C31" s="76"/>
      <c r="D31" s="75"/>
      <c r="E31" s="75"/>
      <c r="F31" s="73"/>
      <c r="G31" s="122">
        <f>B27+B17+B10</f>
        <v>93000</v>
      </c>
      <c r="H31" s="121"/>
      <c r="J31" s="79"/>
      <c r="K31" s="79"/>
      <c r="L31" s="33"/>
      <c r="M31" s="33"/>
      <c r="N31" s="33"/>
      <c r="O31" s="33"/>
      <c r="P31" s="33"/>
      <c r="Q31" s="33"/>
      <c r="R31" s="33"/>
      <c r="S31" s="33"/>
      <c r="T31" s="33"/>
      <c r="U31" s="44"/>
    </row>
    <row r="32" spans="1:21" ht="21.95" customHeight="1" x14ac:dyDescent="0.25">
      <c r="A32" s="77" t="s">
        <v>22</v>
      </c>
      <c r="B32" s="73"/>
      <c r="C32" s="78"/>
      <c r="D32" s="73"/>
      <c r="E32" s="73"/>
      <c r="F32" s="80"/>
      <c r="G32" s="120">
        <f>G31*B5</f>
        <v>93000</v>
      </c>
      <c r="H32" s="121"/>
      <c r="J32" s="79"/>
      <c r="K32" s="79"/>
      <c r="L32" s="33"/>
      <c r="M32" s="33"/>
      <c r="N32" s="33"/>
      <c r="O32" s="33"/>
      <c r="P32" s="33"/>
      <c r="Q32" s="33"/>
      <c r="R32" s="33"/>
      <c r="S32" s="33"/>
      <c r="T32" s="33"/>
      <c r="U32" s="44"/>
    </row>
    <row r="33" spans="1:46" ht="18.95" customHeight="1" x14ac:dyDescent="0.2">
      <c r="C33" s="46"/>
      <c r="U33" s="44"/>
    </row>
    <row r="34" spans="1:46" s="35" customFormat="1" ht="33" customHeight="1" x14ac:dyDescent="0.2">
      <c r="A34" s="71" t="s">
        <v>71</v>
      </c>
      <c r="B34" s="44"/>
      <c r="C34" s="44"/>
      <c r="D34" s="44"/>
      <c r="E34" s="44"/>
      <c r="F34" s="44"/>
      <c r="G34" s="44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ht="18" customHeight="1" x14ac:dyDescent="0.2">
      <c r="A35" s="48"/>
      <c r="B35" s="115" t="s">
        <v>62</v>
      </c>
      <c r="C35" s="115"/>
      <c r="E35" s="44"/>
      <c r="G35" s="115" t="s">
        <v>63</v>
      </c>
      <c r="H35" s="115"/>
      <c r="I35" s="115"/>
      <c r="J35" s="48"/>
      <c r="K35" s="48"/>
      <c r="L35" s="47"/>
      <c r="M35" s="48"/>
      <c r="N35" s="116" t="s">
        <v>1</v>
      </c>
      <c r="O35" s="117"/>
      <c r="P35" s="117"/>
      <c r="Q35" s="117"/>
      <c r="R35" s="117"/>
      <c r="S35" s="48"/>
      <c r="T35" s="48"/>
      <c r="U35" s="47"/>
    </row>
    <row r="36" spans="1:46" s="2" customFormat="1" ht="38.1" customHeight="1" x14ac:dyDescent="0.2">
      <c r="A36" s="1" t="s">
        <v>53</v>
      </c>
      <c r="B36" s="1" t="s">
        <v>42</v>
      </c>
      <c r="C36" s="1" t="s">
        <v>65</v>
      </c>
      <c r="D36" s="1" t="s">
        <v>54</v>
      </c>
      <c r="E36" s="8"/>
      <c r="F36" s="1" t="s">
        <v>55</v>
      </c>
      <c r="G36" s="1" t="s">
        <v>56</v>
      </c>
      <c r="H36" s="1" t="s">
        <v>57</v>
      </c>
      <c r="I36" s="1" t="s">
        <v>58</v>
      </c>
      <c r="J36" s="1" t="s">
        <v>59</v>
      </c>
      <c r="K36" s="1" t="s">
        <v>60</v>
      </c>
      <c r="L36" s="8"/>
      <c r="M36" s="1" t="s">
        <v>61</v>
      </c>
      <c r="N36" s="1" t="s">
        <v>64</v>
      </c>
      <c r="O36" s="1" t="s">
        <v>66</v>
      </c>
      <c r="P36" s="1" t="s">
        <v>67</v>
      </c>
      <c r="Q36" s="1" t="s">
        <v>68</v>
      </c>
      <c r="R36" s="14" t="s">
        <v>69</v>
      </c>
      <c r="S36" s="14" t="s">
        <v>70</v>
      </c>
      <c r="T36" s="14"/>
      <c r="U36" s="22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7.100000000000001" customHeight="1" x14ac:dyDescent="0.25">
      <c r="A37" s="49">
        <f>B37/365</f>
        <v>6.8493150684931505</v>
      </c>
      <c r="B37" s="108">
        <v>2500</v>
      </c>
      <c r="C37" s="50">
        <f>B37*B7/1000</f>
        <v>62.5</v>
      </c>
      <c r="D37" s="27">
        <f t="shared" ref="D37:D49" si="7">C37*$I$11</f>
        <v>17937.5</v>
      </c>
      <c r="E37" s="70"/>
      <c r="F37" s="40">
        <f>C37*I15*I14</f>
        <v>4812.5</v>
      </c>
      <c r="G37" s="40">
        <f t="shared" ref="G37:G49" si="8">C37*$I$16</f>
        <v>3125</v>
      </c>
      <c r="H37" s="40">
        <f t="shared" ref="H37:H49" si="9">C37*$I$17</f>
        <v>3125</v>
      </c>
      <c r="I37" s="40">
        <f>I18</f>
        <v>1000</v>
      </c>
      <c r="J37" s="40">
        <f>I19*B5</f>
        <v>500</v>
      </c>
      <c r="K37" s="40">
        <f>I20*B5</f>
        <v>500</v>
      </c>
      <c r="L37" s="51"/>
      <c r="M37" s="27">
        <f t="shared" ref="M37:M49" si="10">D37-SUM(F37:K37)</f>
        <v>4875</v>
      </c>
      <c r="N37" s="40">
        <f>I27-(2*I27)</f>
        <v>7451.4744348537706</v>
      </c>
      <c r="O37" s="29">
        <f t="shared" ref="O37:O49" si="11">M37-N37</f>
        <v>-2576.4744348537706</v>
      </c>
      <c r="P37" s="52">
        <f t="shared" ref="P37:P49" si="12">M37/N37</f>
        <v>0.65423293639679081</v>
      </c>
      <c r="Q37" s="52">
        <f t="shared" ref="Q37:Q49" si="13">$G$32/M37</f>
        <v>19.076923076923077</v>
      </c>
      <c r="R37" s="19">
        <f t="shared" ref="R37:R49" si="14">M37/$G$32</f>
        <v>5.2419354838709679E-2</v>
      </c>
      <c r="S37" s="19">
        <f t="shared" ref="S37:S49" si="15">O37/($G$32-$I$24)</f>
        <v>-5.9918010112878388E-2</v>
      </c>
      <c r="T37" s="19"/>
      <c r="U37" s="23"/>
    </row>
    <row r="38" spans="1:46" ht="17.100000000000001" customHeight="1" x14ac:dyDescent="0.25">
      <c r="A38" s="49">
        <f t="shared" ref="A38:A49" si="16">B38/365</f>
        <v>8.2191780821917817</v>
      </c>
      <c r="B38" s="108">
        <v>3000</v>
      </c>
      <c r="C38" s="50">
        <f>B38*B7/1000</f>
        <v>75</v>
      </c>
      <c r="D38" s="27">
        <f t="shared" si="7"/>
        <v>21525</v>
      </c>
      <c r="E38" s="70"/>
      <c r="F38" s="40">
        <f>C38*I15*I14</f>
        <v>5775</v>
      </c>
      <c r="G38" s="40">
        <f t="shared" si="8"/>
        <v>3750</v>
      </c>
      <c r="H38" s="40">
        <f t="shared" si="9"/>
        <v>3750</v>
      </c>
      <c r="I38" s="40">
        <f>I18</f>
        <v>1000</v>
      </c>
      <c r="J38" s="40">
        <f>J37</f>
        <v>500</v>
      </c>
      <c r="K38" s="40">
        <f>K37</f>
        <v>500</v>
      </c>
      <c r="L38" s="51"/>
      <c r="M38" s="27">
        <f t="shared" si="10"/>
        <v>6250</v>
      </c>
      <c r="N38" s="40">
        <f t="shared" ref="N38:N49" si="17">N37</f>
        <v>7451.4744348537706</v>
      </c>
      <c r="O38" s="29">
        <f t="shared" si="11"/>
        <v>-1201.4744348537706</v>
      </c>
      <c r="P38" s="52">
        <f t="shared" si="12"/>
        <v>0.83876017486768062</v>
      </c>
      <c r="Q38" s="52">
        <f t="shared" si="13"/>
        <v>14.88</v>
      </c>
      <c r="R38" s="19">
        <f t="shared" si="14"/>
        <v>6.7204301075268813E-2</v>
      </c>
      <c r="S38" s="19">
        <f t="shared" si="15"/>
        <v>-2.7941265926831875E-2</v>
      </c>
      <c r="T38" s="19"/>
      <c r="U38" s="23"/>
    </row>
    <row r="39" spans="1:46" s="57" customFormat="1" ht="17.100000000000001" customHeight="1" x14ac:dyDescent="0.25">
      <c r="A39" s="53">
        <f t="shared" si="16"/>
        <v>9.5890410958904102</v>
      </c>
      <c r="B39" s="109">
        <v>3500</v>
      </c>
      <c r="C39" s="54">
        <f>B39*B7/1000</f>
        <v>87.5</v>
      </c>
      <c r="D39" s="28">
        <f t="shared" si="7"/>
        <v>25112.5</v>
      </c>
      <c r="E39" s="28"/>
      <c r="F39" s="55">
        <f>C39*I15*I14</f>
        <v>6737.5000000000009</v>
      </c>
      <c r="G39" s="55">
        <f t="shared" si="8"/>
        <v>4375</v>
      </c>
      <c r="H39" s="55">
        <f t="shared" si="9"/>
        <v>4375</v>
      </c>
      <c r="I39" s="55">
        <f>I18</f>
        <v>1000</v>
      </c>
      <c r="J39" s="55">
        <f t="shared" ref="J39:J49" si="18">J38</f>
        <v>500</v>
      </c>
      <c r="K39" s="55">
        <f t="shared" ref="K39:K49" si="19">K38</f>
        <v>500</v>
      </c>
      <c r="L39" s="55"/>
      <c r="M39" s="28">
        <f t="shared" si="10"/>
        <v>7625</v>
      </c>
      <c r="N39" s="55">
        <f t="shared" si="17"/>
        <v>7451.4744348537706</v>
      </c>
      <c r="O39" s="30">
        <f t="shared" si="11"/>
        <v>173.52556514622938</v>
      </c>
      <c r="P39" s="56">
        <f t="shared" si="12"/>
        <v>1.0232874133385703</v>
      </c>
      <c r="Q39" s="56">
        <f t="shared" si="13"/>
        <v>12.196721311475409</v>
      </c>
      <c r="R39" s="20">
        <f t="shared" si="14"/>
        <v>8.1989247311827954E-2</v>
      </c>
      <c r="S39" s="20">
        <f t="shared" si="15"/>
        <v>4.0354782592146371E-3</v>
      </c>
      <c r="T39" s="20"/>
      <c r="U39" s="23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s="34" customFormat="1" ht="17.100000000000001" customHeight="1" x14ac:dyDescent="0.25">
      <c r="A40" s="49">
        <f t="shared" si="16"/>
        <v>10.95890410958904</v>
      </c>
      <c r="B40" s="108">
        <v>4000</v>
      </c>
      <c r="C40" s="50">
        <f>B40*B7/1000</f>
        <v>100</v>
      </c>
      <c r="D40" s="27">
        <f t="shared" si="7"/>
        <v>28700</v>
      </c>
      <c r="E40" s="70"/>
      <c r="F40" s="40">
        <f>(C40*I15)*I14</f>
        <v>7700.0000000000009</v>
      </c>
      <c r="G40" s="40">
        <f t="shared" si="8"/>
        <v>5000</v>
      </c>
      <c r="H40" s="40">
        <f t="shared" si="9"/>
        <v>5000</v>
      </c>
      <c r="I40" s="81">
        <f>I18</f>
        <v>1000</v>
      </c>
      <c r="J40" s="40">
        <f t="shared" si="18"/>
        <v>500</v>
      </c>
      <c r="K40" s="40">
        <f t="shared" si="19"/>
        <v>500</v>
      </c>
      <c r="L40" s="51"/>
      <c r="M40" s="27">
        <f t="shared" si="10"/>
        <v>9000</v>
      </c>
      <c r="N40" s="40">
        <f t="shared" si="17"/>
        <v>7451.4744348537706</v>
      </c>
      <c r="O40" s="29">
        <f t="shared" si="11"/>
        <v>1548.5255651462294</v>
      </c>
      <c r="P40" s="52">
        <f t="shared" si="12"/>
        <v>1.2078146518094601</v>
      </c>
      <c r="Q40" s="52">
        <f t="shared" si="13"/>
        <v>10.333333333333334</v>
      </c>
      <c r="R40" s="19">
        <f t="shared" si="14"/>
        <v>9.6774193548387094E-2</v>
      </c>
      <c r="S40" s="19">
        <f t="shared" si="15"/>
        <v>3.6012222445261151E-2</v>
      </c>
      <c r="T40" s="19"/>
      <c r="U40" s="23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7.100000000000001" customHeight="1" x14ac:dyDescent="0.25">
      <c r="A41" s="49">
        <f t="shared" si="16"/>
        <v>12.328767123287671</v>
      </c>
      <c r="B41" s="108">
        <v>4500</v>
      </c>
      <c r="C41" s="50">
        <f>B41*B7/1000</f>
        <v>112.5</v>
      </c>
      <c r="D41" s="27">
        <f t="shared" si="7"/>
        <v>32287.5</v>
      </c>
      <c r="E41" s="70"/>
      <c r="F41" s="40">
        <f>C41*I15*I14</f>
        <v>8662.5000000000018</v>
      </c>
      <c r="G41" s="40">
        <f t="shared" si="8"/>
        <v>5625</v>
      </c>
      <c r="H41" s="40">
        <f t="shared" si="9"/>
        <v>5625</v>
      </c>
      <c r="I41" s="81">
        <f>I18</f>
        <v>1000</v>
      </c>
      <c r="J41" s="40">
        <f t="shared" si="18"/>
        <v>500</v>
      </c>
      <c r="K41" s="40">
        <f t="shared" si="19"/>
        <v>500</v>
      </c>
      <c r="L41" s="51"/>
      <c r="M41" s="27">
        <f t="shared" si="10"/>
        <v>10375</v>
      </c>
      <c r="N41" s="40">
        <f t="shared" si="17"/>
        <v>7451.4744348537706</v>
      </c>
      <c r="O41" s="29">
        <f t="shared" si="11"/>
        <v>2923.5255651462294</v>
      </c>
      <c r="P41" s="52">
        <f t="shared" si="12"/>
        <v>1.3923418902803497</v>
      </c>
      <c r="Q41" s="52">
        <f t="shared" si="13"/>
        <v>8.9638554216867465</v>
      </c>
      <c r="R41" s="19">
        <f t="shared" si="14"/>
        <v>0.11155913978494623</v>
      </c>
      <c r="S41" s="19">
        <f t="shared" si="15"/>
        <v>6.7988966631307657E-2</v>
      </c>
      <c r="T41" s="19"/>
      <c r="U41" s="23"/>
    </row>
    <row r="42" spans="1:46" ht="17.100000000000001" customHeight="1" x14ac:dyDescent="0.25">
      <c r="A42" s="49">
        <f t="shared" si="16"/>
        <v>13.698630136986301</v>
      </c>
      <c r="B42" s="108">
        <v>5000</v>
      </c>
      <c r="C42" s="50">
        <f>B42*B7/1000</f>
        <v>125</v>
      </c>
      <c r="D42" s="27">
        <f t="shared" si="7"/>
        <v>35875</v>
      </c>
      <c r="E42" s="70"/>
      <c r="F42" s="40">
        <f>C42*I15*I14</f>
        <v>9625</v>
      </c>
      <c r="G42" s="40">
        <f t="shared" si="8"/>
        <v>6250</v>
      </c>
      <c r="H42" s="40">
        <f t="shared" si="9"/>
        <v>6250</v>
      </c>
      <c r="I42" s="81">
        <f>I18</f>
        <v>1000</v>
      </c>
      <c r="J42" s="40">
        <f>J41</f>
        <v>500</v>
      </c>
      <c r="K42" s="40">
        <f t="shared" si="19"/>
        <v>500</v>
      </c>
      <c r="L42" s="51"/>
      <c r="M42" s="27">
        <f t="shared" si="10"/>
        <v>11750</v>
      </c>
      <c r="N42" s="40">
        <f t="shared" si="17"/>
        <v>7451.4744348537706</v>
      </c>
      <c r="O42" s="29">
        <f t="shared" si="11"/>
        <v>4298.5255651462294</v>
      </c>
      <c r="P42" s="52">
        <f t="shared" si="12"/>
        <v>1.5768691287512395</v>
      </c>
      <c r="Q42" s="52">
        <f t="shared" si="13"/>
        <v>7.9148936170212769</v>
      </c>
      <c r="R42" s="19">
        <f t="shared" si="14"/>
        <v>0.12634408602150538</v>
      </c>
      <c r="S42" s="19">
        <f t="shared" si="15"/>
        <v>9.996571081735417E-2</v>
      </c>
      <c r="T42" s="19"/>
      <c r="U42" s="23"/>
    </row>
    <row r="43" spans="1:46" ht="17.100000000000001" customHeight="1" x14ac:dyDescent="0.25">
      <c r="A43" s="49">
        <f t="shared" si="16"/>
        <v>15.068493150684931</v>
      </c>
      <c r="B43" s="108">
        <v>5500</v>
      </c>
      <c r="C43" s="50">
        <f>B43*B7/1000</f>
        <v>137.5</v>
      </c>
      <c r="D43" s="27">
        <f t="shared" si="7"/>
        <v>39462.5</v>
      </c>
      <c r="E43" s="70"/>
      <c r="F43" s="40">
        <f>C43*I15*I14</f>
        <v>10587.5</v>
      </c>
      <c r="G43" s="40">
        <f t="shared" si="8"/>
        <v>6875</v>
      </c>
      <c r="H43" s="40">
        <f t="shared" si="9"/>
        <v>6875</v>
      </c>
      <c r="I43" s="81">
        <f>I18</f>
        <v>1000</v>
      </c>
      <c r="J43" s="40">
        <f t="shared" si="18"/>
        <v>500</v>
      </c>
      <c r="K43" s="40">
        <f t="shared" si="19"/>
        <v>500</v>
      </c>
      <c r="L43" s="51"/>
      <c r="M43" s="27">
        <f t="shared" si="10"/>
        <v>13125</v>
      </c>
      <c r="N43" s="40">
        <f t="shared" si="17"/>
        <v>7451.4744348537706</v>
      </c>
      <c r="O43" s="29">
        <f t="shared" si="11"/>
        <v>5673.5255651462294</v>
      </c>
      <c r="P43" s="52">
        <f t="shared" si="12"/>
        <v>1.7613963672221293</v>
      </c>
      <c r="Q43" s="52">
        <f t="shared" si="13"/>
        <v>7.0857142857142854</v>
      </c>
      <c r="R43" s="19">
        <f t="shared" si="14"/>
        <v>0.14112903225806453</v>
      </c>
      <c r="S43" s="19">
        <f t="shared" si="15"/>
        <v>0.13194245500340068</v>
      </c>
      <c r="T43" s="19"/>
      <c r="U43" s="23"/>
    </row>
    <row r="44" spans="1:46" s="34" customFormat="1" ht="17.100000000000001" customHeight="1" x14ac:dyDescent="0.25">
      <c r="A44" s="49">
        <f t="shared" si="16"/>
        <v>16.438356164383563</v>
      </c>
      <c r="B44" s="108">
        <v>6000</v>
      </c>
      <c r="C44" s="50">
        <f>B44*B7/1000</f>
        <v>150</v>
      </c>
      <c r="D44" s="27">
        <f t="shared" si="7"/>
        <v>43050</v>
      </c>
      <c r="E44" s="70"/>
      <c r="F44" s="40">
        <f>C44*I15*I14</f>
        <v>11550</v>
      </c>
      <c r="G44" s="40">
        <f t="shared" si="8"/>
        <v>7500</v>
      </c>
      <c r="H44" s="40">
        <f t="shared" si="9"/>
        <v>7500</v>
      </c>
      <c r="I44" s="81">
        <f>I18</f>
        <v>1000</v>
      </c>
      <c r="J44" s="40">
        <f t="shared" si="18"/>
        <v>500</v>
      </c>
      <c r="K44" s="40">
        <f t="shared" si="19"/>
        <v>500</v>
      </c>
      <c r="L44" s="51"/>
      <c r="M44" s="27">
        <f t="shared" si="10"/>
        <v>14500</v>
      </c>
      <c r="N44" s="40">
        <f t="shared" si="17"/>
        <v>7451.4744348537706</v>
      </c>
      <c r="O44" s="29">
        <f t="shared" si="11"/>
        <v>7048.5255651462294</v>
      </c>
      <c r="P44" s="52">
        <f t="shared" si="12"/>
        <v>1.9459236056930189</v>
      </c>
      <c r="Q44" s="52">
        <f t="shared" si="13"/>
        <v>6.4137931034482758</v>
      </c>
      <c r="R44" s="19">
        <f t="shared" si="14"/>
        <v>0.15591397849462366</v>
      </c>
      <c r="S44" s="19">
        <f t="shared" si="15"/>
        <v>0.1639191991894472</v>
      </c>
      <c r="T44" s="19"/>
      <c r="U44" s="23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8" customHeight="1" x14ac:dyDescent="0.25">
      <c r="A45" s="49">
        <f t="shared" si="16"/>
        <v>17.80821917808219</v>
      </c>
      <c r="B45" s="108">
        <v>6500</v>
      </c>
      <c r="C45" s="50">
        <f>B45*B7/1000</f>
        <v>162.5</v>
      </c>
      <c r="D45" s="27">
        <f t="shared" si="7"/>
        <v>46637.5</v>
      </c>
      <c r="E45" s="70"/>
      <c r="F45" s="40">
        <f>C45*I15*I14</f>
        <v>12512.500000000002</v>
      </c>
      <c r="G45" s="40">
        <f t="shared" si="8"/>
        <v>8125</v>
      </c>
      <c r="H45" s="40">
        <f t="shared" si="9"/>
        <v>8125</v>
      </c>
      <c r="I45" s="81">
        <f>I18</f>
        <v>1000</v>
      </c>
      <c r="J45" s="40">
        <f t="shared" si="18"/>
        <v>500</v>
      </c>
      <c r="K45" s="40">
        <f t="shared" si="19"/>
        <v>500</v>
      </c>
      <c r="L45" s="51"/>
      <c r="M45" s="27">
        <f t="shared" si="10"/>
        <v>15875</v>
      </c>
      <c r="N45" s="40">
        <f t="shared" si="17"/>
        <v>7451.4744348537706</v>
      </c>
      <c r="O45" s="29">
        <f t="shared" si="11"/>
        <v>8423.5255651462285</v>
      </c>
      <c r="P45" s="52">
        <f t="shared" si="12"/>
        <v>2.1304508441639087</v>
      </c>
      <c r="Q45" s="52">
        <f t="shared" si="13"/>
        <v>5.8582677165354333</v>
      </c>
      <c r="R45" s="19">
        <f t="shared" si="14"/>
        <v>0.17069892473118278</v>
      </c>
      <c r="S45" s="19">
        <f t="shared" si="15"/>
        <v>0.19589594337549368</v>
      </c>
      <c r="T45" s="19"/>
      <c r="U45" s="23"/>
    </row>
    <row r="46" spans="1:46" s="57" customFormat="1" ht="17.100000000000001" customHeight="1" x14ac:dyDescent="0.25">
      <c r="A46" s="53">
        <f t="shared" si="16"/>
        <v>19.17808219178082</v>
      </c>
      <c r="B46" s="109">
        <v>7000</v>
      </c>
      <c r="C46" s="54">
        <f>B46*B7/1000</f>
        <v>175</v>
      </c>
      <c r="D46" s="28">
        <f t="shared" si="7"/>
        <v>50225</v>
      </c>
      <c r="E46" s="28"/>
      <c r="F46" s="55">
        <f>C46*I15*I14</f>
        <v>13475.000000000002</v>
      </c>
      <c r="G46" s="55">
        <f t="shared" si="8"/>
        <v>8750</v>
      </c>
      <c r="H46" s="55">
        <f>C46*$I$17</f>
        <v>8750</v>
      </c>
      <c r="I46" s="82">
        <f>I18</f>
        <v>1000</v>
      </c>
      <c r="J46" s="55">
        <f t="shared" si="18"/>
        <v>500</v>
      </c>
      <c r="K46" s="55">
        <f t="shared" si="19"/>
        <v>500</v>
      </c>
      <c r="L46" s="55"/>
      <c r="M46" s="28">
        <f t="shared" si="10"/>
        <v>17250</v>
      </c>
      <c r="N46" s="55">
        <f t="shared" si="17"/>
        <v>7451.4744348537706</v>
      </c>
      <c r="O46" s="30">
        <f t="shared" si="11"/>
        <v>9798.5255651462285</v>
      </c>
      <c r="P46" s="56">
        <f t="shared" si="12"/>
        <v>2.3149780826347985</v>
      </c>
      <c r="Q46" s="56">
        <f t="shared" si="13"/>
        <v>5.3913043478260869</v>
      </c>
      <c r="R46" s="20">
        <f t="shared" si="14"/>
        <v>0.18548387096774194</v>
      </c>
      <c r="S46" s="20">
        <f t="shared" si="15"/>
        <v>0.22787268756154019</v>
      </c>
      <c r="T46" s="20"/>
      <c r="U46" s="23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7.100000000000001" customHeight="1" x14ac:dyDescent="0.25">
      <c r="A47" s="49">
        <f t="shared" si="16"/>
        <v>20.547945205479451</v>
      </c>
      <c r="B47" s="108">
        <v>7500</v>
      </c>
      <c r="C47" s="50">
        <f>B47*B7/1000</f>
        <v>187.5</v>
      </c>
      <c r="D47" s="27">
        <f t="shared" si="7"/>
        <v>53812.5</v>
      </c>
      <c r="E47" s="70"/>
      <c r="F47" s="40">
        <f>C47*I15*I14</f>
        <v>14437.500000000002</v>
      </c>
      <c r="G47" s="40">
        <f t="shared" si="8"/>
        <v>9375</v>
      </c>
      <c r="H47" s="40">
        <f t="shared" si="9"/>
        <v>9375</v>
      </c>
      <c r="I47" s="81">
        <f>I18</f>
        <v>1000</v>
      </c>
      <c r="J47" s="40">
        <f t="shared" si="18"/>
        <v>500</v>
      </c>
      <c r="K47" s="40">
        <f t="shared" si="19"/>
        <v>500</v>
      </c>
      <c r="L47" s="51"/>
      <c r="M47" s="27">
        <f t="shared" si="10"/>
        <v>18625</v>
      </c>
      <c r="N47" s="40">
        <f t="shared" si="17"/>
        <v>7451.4744348537706</v>
      </c>
      <c r="O47" s="29">
        <f t="shared" si="11"/>
        <v>11173.525565146228</v>
      </c>
      <c r="P47" s="52">
        <f t="shared" si="12"/>
        <v>2.4995053211056883</v>
      </c>
      <c r="Q47" s="52">
        <f t="shared" si="13"/>
        <v>4.9932885906040267</v>
      </c>
      <c r="R47" s="19">
        <f t="shared" si="14"/>
        <v>0.20026881720430106</v>
      </c>
      <c r="S47" s="19">
        <f t="shared" si="15"/>
        <v>0.25984943174758673</v>
      </c>
      <c r="T47" s="19"/>
      <c r="U47" s="23"/>
    </row>
    <row r="48" spans="1:46" ht="17.100000000000001" customHeight="1" x14ac:dyDescent="0.25">
      <c r="A48" s="49">
        <f t="shared" si="16"/>
        <v>21.917808219178081</v>
      </c>
      <c r="B48" s="108">
        <v>8000</v>
      </c>
      <c r="C48" s="50">
        <f>B48*B7/1000</f>
        <v>200</v>
      </c>
      <c r="D48" s="27">
        <f t="shared" si="7"/>
        <v>57400</v>
      </c>
      <c r="E48" s="70"/>
      <c r="F48" s="40">
        <f>C48*I15*I14</f>
        <v>15400.000000000002</v>
      </c>
      <c r="G48" s="40">
        <f t="shared" si="8"/>
        <v>10000</v>
      </c>
      <c r="H48" s="40">
        <f t="shared" si="9"/>
        <v>10000</v>
      </c>
      <c r="I48" s="81">
        <f>I18</f>
        <v>1000</v>
      </c>
      <c r="J48" s="40">
        <f t="shared" si="18"/>
        <v>500</v>
      </c>
      <c r="K48" s="40">
        <f t="shared" si="19"/>
        <v>500</v>
      </c>
      <c r="L48" s="51"/>
      <c r="M48" s="27">
        <f t="shared" si="10"/>
        <v>20000</v>
      </c>
      <c r="N48" s="40">
        <f t="shared" si="17"/>
        <v>7451.4744348537706</v>
      </c>
      <c r="O48" s="29">
        <f t="shared" si="11"/>
        <v>12548.525565146228</v>
      </c>
      <c r="P48" s="52">
        <f t="shared" si="12"/>
        <v>2.6840325595765777</v>
      </c>
      <c r="Q48" s="52">
        <f t="shared" si="13"/>
        <v>4.6500000000000004</v>
      </c>
      <c r="R48" s="19">
        <f t="shared" si="14"/>
        <v>0.21505376344086022</v>
      </c>
      <c r="S48" s="19">
        <f t="shared" si="15"/>
        <v>0.29182617593363325</v>
      </c>
      <c r="T48" s="19"/>
      <c r="U48" s="23"/>
    </row>
    <row r="49" spans="1:46" ht="17.100000000000001" customHeight="1" x14ac:dyDescent="0.25">
      <c r="A49" s="49">
        <f t="shared" si="16"/>
        <v>23.287671232876711</v>
      </c>
      <c r="B49" s="108">
        <v>8500</v>
      </c>
      <c r="C49" s="50">
        <f>B49*B7/1000</f>
        <v>212.5</v>
      </c>
      <c r="D49" s="27">
        <f t="shared" si="7"/>
        <v>60987.5</v>
      </c>
      <c r="E49" s="70"/>
      <c r="F49" s="40">
        <f>C49*I14*I15</f>
        <v>16362.500000000002</v>
      </c>
      <c r="G49" s="40">
        <f t="shared" si="8"/>
        <v>10625</v>
      </c>
      <c r="H49" s="40">
        <f t="shared" si="9"/>
        <v>10625</v>
      </c>
      <c r="I49" s="81">
        <f>I18</f>
        <v>1000</v>
      </c>
      <c r="J49" s="40">
        <f t="shared" si="18"/>
        <v>500</v>
      </c>
      <c r="K49" s="40">
        <f t="shared" si="19"/>
        <v>500</v>
      </c>
      <c r="L49" s="51"/>
      <c r="M49" s="27">
        <f t="shared" si="10"/>
        <v>21375</v>
      </c>
      <c r="N49" s="40">
        <f t="shared" si="17"/>
        <v>7451.4744348537706</v>
      </c>
      <c r="O49" s="29">
        <f t="shared" si="11"/>
        <v>13923.525565146228</v>
      </c>
      <c r="P49" s="52">
        <f t="shared" si="12"/>
        <v>2.8685597980474675</v>
      </c>
      <c r="Q49" s="52">
        <f t="shared" si="13"/>
        <v>4.3508771929824563</v>
      </c>
      <c r="R49" s="19">
        <f t="shared" si="14"/>
        <v>0.22983870967741934</v>
      </c>
      <c r="S49" s="19">
        <f t="shared" si="15"/>
        <v>0.3238029201196797</v>
      </c>
      <c r="T49" s="19"/>
      <c r="U49" s="23"/>
    </row>
    <row r="50" spans="1:46" ht="17.100000000000001" customHeight="1" x14ac:dyDescent="0.2">
      <c r="A50" s="96"/>
      <c r="B50" s="47"/>
      <c r="C50" s="47"/>
      <c r="D50" s="51"/>
      <c r="E50" s="51"/>
      <c r="F50" s="51"/>
      <c r="G50" s="51"/>
      <c r="H50" s="51"/>
      <c r="I50" s="51"/>
      <c r="J50" s="51"/>
      <c r="K50" s="51"/>
      <c r="L50" s="51"/>
      <c r="M50" s="97"/>
      <c r="N50" s="51"/>
      <c r="O50" s="98"/>
      <c r="P50" s="99"/>
      <c r="Q50" s="98"/>
      <c r="R50" s="98"/>
      <c r="S50" s="98"/>
      <c r="T50" s="98"/>
      <c r="U50" s="98"/>
    </row>
    <row r="51" spans="1:46" ht="17.100000000000001" customHeight="1" x14ac:dyDescent="0.2">
      <c r="A51" s="49"/>
      <c r="B51" s="50"/>
      <c r="C51" s="5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58"/>
      <c r="P51" s="52"/>
      <c r="Q51" s="58"/>
      <c r="R51" s="58"/>
      <c r="S51" s="58"/>
      <c r="T51" s="58"/>
      <c r="U51" s="58"/>
    </row>
    <row r="52" spans="1:46" ht="12.75" x14ac:dyDescent="0.2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32"/>
      <c r="N52" s="59"/>
      <c r="O52" s="60"/>
      <c r="P52" s="60"/>
      <c r="Q52" s="60"/>
      <c r="R52" s="60"/>
      <c r="S52" s="38"/>
      <c r="T52" s="38"/>
      <c r="U52" s="38"/>
    </row>
    <row r="53" spans="1:46" ht="12.75" x14ac:dyDescent="0.2">
      <c r="B53" s="38"/>
      <c r="C53" s="38"/>
      <c r="D53" s="59"/>
      <c r="E53" s="59"/>
      <c r="F53" s="38"/>
      <c r="G53" s="38"/>
      <c r="H53" s="38"/>
      <c r="I53" s="38"/>
      <c r="J53" s="38"/>
      <c r="K53" s="38"/>
      <c r="L53" s="38"/>
      <c r="M53" s="32"/>
      <c r="N53" s="38"/>
      <c r="O53" s="38"/>
      <c r="P53" s="38"/>
      <c r="Q53" s="38"/>
      <c r="R53" s="38"/>
      <c r="S53" s="38"/>
      <c r="T53" s="38"/>
      <c r="U53" s="38"/>
    </row>
    <row r="54" spans="1:46" ht="12.75" x14ac:dyDescent="0.2">
      <c r="B54" s="59"/>
      <c r="C54" s="61"/>
      <c r="D54" s="38"/>
      <c r="E54" s="38"/>
      <c r="F54" s="61"/>
      <c r="G54" s="61"/>
      <c r="H54" s="61"/>
      <c r="I54" s="61"/>
      <c r="J54" s="61"/>
      <c r="K54" s="61"/>
      <c r="L54" s="61"/>
      <c r="M54" s="32"/>
      <c r="N54" s="61"/>
      <c r="O54" s="38"/>
      <c r="P54" s="38"/>
      <c r="Q54" s="38"/>
      <c r="R54" s="38"/>
      <c r="S54" s="38"/>
      <c r="T54" s="38"/>
      <c r="U54" s="38"/>
    </row>
    <row r="55" spans="1:46" ht="12.75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46" ht="12.75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46" ht="12.75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S57" s="32"/>
      <c r="T57" s="32"/>
      <c r="U57" s="32"/>
    </row>
    <row r="58" spans="1:46" ht="12.75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S58" s="32"/>
      <c r="T58" s="32"/>
      <c r="U58" s="32"/>
    </row>
    <row r="59" spans="1:46" ht="12.75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S59" s="32"/>
      <c r="T59" s="32"/>
      <c r="U59" s="32"/>
    </row>
    <row r="60" spans="1:46" s="64" customFormat="1" ht="15.75" customHeight="1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s="64" customFormat="1" ht="15.75" customHeight="1" x14ac:dyDescent="0.2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s="64" customFormat="1" ht="12.75" x14ac:dyDescent="0.2">
      <c r="A62" s="63"/>
      <c r="B62" s="63"/>
      <c r="C62" s="65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s="64" customFormat="1" ht="12.75" x14ac:dyDescent="0.2">
      <c r="A63" s="63"/>
      <c r="B63" s="63"/>
      <c r="C63" s="65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s="64" customFormat="1" ht="12.75" x14ac:dyDescent="0.2">
      <c r="A64" s="63"/>
      <c r="B64" s="63"/>
      <c r="C64" s="65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s="64" customFormat="1" ht="12.75" x14ac:dyDescent="0.2">
      <c r="A65" s="63"/>
      <c r="B65" s="63"/>
      <c r="C65" s="65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s="64" customFormat="1" ht="12.75" x14ac:dyDescent="0.2">
      <c r="A66" s="63"/>
      <c r="B66" s="63"/>
      <c r="C66" s="65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s="64" customFormat="1" ht="12.75" x14ac:dyDescent="0.2">
      <c r="A67" s="63"/>
      <c r="B67" s="63"/>
      <c r="C67" s="65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s="64" customFormat="1" ht="12.75" x14ac:dyDescent="0.2">
      <c r="A68" s="63"/>
      <c r="B68" s="63"/>
      <c r="C68" s="65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s="64" customFormat="1" ht="12.75" x14ac:dyDescent="0.2">
      <c r="A69" s="63"/>
      <c r="B69" s="63"/>
      <c r="C69" s="65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s="64" customFormat="1" ht="12.75" x14ac:dyDescent="0.2">
      <c r="A70" s="63"/>
      <c r="B70" s="63"/>
      <c r="C70" s="65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s="64" customFormat="1" ht="12.75" x14ac:dyDescent="0.2">
      <c r="A71" s="63"/>
      <c r="B71" s="63"/>
      <c r="C71" s="65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s="64" customFormat="1" ht="12.75" x14ac:dyDescent="0.2">
      <c r="A72" s="63"/>
      <c r="B72" s="63"/>
      <c r="C72" s="65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s="64" customFormat="1" ht="12.75" x14ac:dyDescent="0.2">
      <c r="A73" s="63"/>
      <c r="B73" s="63"/>
      <c r="C73" s="65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s="64" customFormat="1" ht="12.75" x14ac:dyDescent="0.2">
      <c r="A74" s="63"/>
      <c r="B74" s="63"/>
      <c r="C74" s="65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s="64" customFormat="1" ht="12.75" x14ac:dyDescent="0.2">
      <c r="A75" s="63"/>
      <c r="B75" s="63"/>
      <c r="C75" s="65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s="64" customFormat="1" ht="12.75" x14ac:dyDescent="0.2">
      <c r="A76" s="63"/>
      <c r="B76" s="63"/>
      <c r="C76" s="65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s="64" customFormat="1" ht="12.75" x14ac:dyDescent="0.2">
      <c r="A77" s="63"/>
      <c r="B77" s="63"/>
      <c r="C77" s="65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s="64" customFormat="1" ht="12.75" x14ac:dyDescent="0.2">
      <c r="A78" s="63"/>
      <c r="B78" s="63"/>
      <c r="C78" s="65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s="64" customFormat="1" ht="12.75" x14ac:dyDescent="0.2">
      <c r="A79" s="63"/>
      <c r="B79" s="63"/>
      <c r="C79" s="65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s="64" customFormat="1" ht="12.75" x14ac:dyDescent="0.2">
      <c r="A80" s="63"/>
      <c r="B80" s="63"/>
      <c r="C80" s="65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s="64" customFormat="1" ht="12.75" x14ac:dyDescent="0.2">
      <c r="A81" s="63"/>
      <c r="B81" s="63"/>
      <c r="C81" s="65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s="64" customFormat="1" ht="12.75" x14ac:dyDescent="0.2">
      <c r="A82" s="63"/>
      <c r="B82" s="63"/>
      <c r="C82" s="65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s="64" customFormat="1" ht="12.75" x14ac:dyDescent="0.2">
      <c r="A83" s="63"/>
      <c r="B83" s="63"/>
      <c r="C83" s="65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s="64" customFormat="1" ht="12.75" x14ac:dyDescent="0.2">
      <c r="A84" s="63"/>
      <c r="B84" s="63"/>
      <c r="C84" s="65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s="64" customFormat="1" ht="12.75" x14ac:dyDescent="0.2">
      <c r="A85" s="63"/>
      <c r="B85" s="63"/>
      <c r="C85" s="65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s="64" customFormat="1" ht="12.75" x14ac:dyDescent="0.2">
      <c r="A86" s="63"/>
      <c r="B86" s="63"/>
      <c r="C86" s="6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s="64" customFormat="1" ht="12.75" x14ac:dyDescent="0.2">
      <c r="A87" s="63"/>
      <c r="B87" s="63"/>
      <c r="C87" s="65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s="64" customFormat="1" ht="12.75" x14ac:dyDescent="0.2">
      <c r="A88" s="63"/>
      <c r="B88" s="63"/>
      <c r="C88" s="65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s="64" customFormat="1" ht="12.75" x14ac:dyDescent="0.2">
      <c r="A89" s="63"/>
      <c r="B89" s="63"/>
      <c r="C89" s="65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s="64" customFormat="1" ht="12.75" x14ac:dyDescent="0.2">
      <c r="A90" s="63"/>
      <c r="B90" s="63"/>
      <c r="C90" s="65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s="64" customFormat="1" ht="12.75" x14ac:dyDescent="0.2">
      <c r="A91" s="63"/>
      <c r="B91" s="63"/>
      <c r="C91" s="65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1048537" spans="1:18" ht="15.75" customHeight="1" x14ac:dyDescent="0.2">
      <c r="A1048537" s="63"/>
      <c r="B1048537" s="63"/>
      <c r="C1048537" s="63"/>
      <c r="D1048537" s="63"/>
      <c r="E1048537" s="63"/>
      <c r="F1048537" s="63"/>
      <c r="G1048537" s="63"/>
      <c r="H1048537" s="63"/>
      <c r="I1048537" s="63"/>
      <c r="J1048537" s="63"/>
      <c r="K1048537" s="63"/>
      <c r="L1048537" s="63"/>
      <c r="M1048537" s="63"/>
      <c r="N1048537" s="63"/>
      <c r="O1048537" s="63"/>
      <c r="P1048537" s="18" t="e">
        <f>M1048537/N1048537</f>
        <v>#DIV/0!</v>
      </c>
      <c r="Q1048537" s="18" t="e">
        <f>$G$32/M1048537</f>
        <v>#DIV/0!</v>
      </c>
      <c r="R1048537" s="18"/>
    </row>
  </sheetData>
  <mergeCells count="23">
    <mergeCell ref="J28:M28"/>
    <mergeCell ref="C12:F12"/>
    <mergeCell ref="C27:F27"/>
    <mergeCell ref="J27:M27"/>
    <mergeCell ref="J26:M26"/>
    <mergeCell ref="J25:M25"/>
    <mergeCell ref="J24:M24"/>
    <mergeCell ref="B35:C35"/>
    <mergeCell ref="N35:R35"/>
    <mergeCell ref="H7:J7"/>
    <mergeCell ref="J16:M16"/>
    <mergeCell ref="G35:I35"/>
    <mergeCell ref="G32:H32"/>
    <mergeCell ref="G31:H31"/>
    <mergeCell ref="H23:K23"/>
    <mergeCell ref="J8:M8"/>
    <mergeCell ref="J10:M10"/>
    <mergeCell ref="J14:M14"/>
    <mergeCell ref="J15:M15"/>
    <mergeCell ref="J17:M17"/>
    <mergeCell ref="J18:M18"/>
    <mergeCell ref="J19:M19"/>
    <mergeCell ref="J20:M20"/>
  </mergeCells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FINANCIALS 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Silvia</cp:lastModifiedBy>
  <dcterms:created xsi:type="dcterms:W3CDTF">2014-06-27T03:21:11Z</dcterms:created>
  <dcterms:modified xsi:type="dcterms:W3CDTF">2014-11-18T12:42:13Z</dcterms:modified>
</cp:coreProperties>
</file>